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https://sportnzgroup-my.sharepoint.com/personal/paula_ryan_sportnz_org_nz/Documents/Desktop/"/>
    </mc:Choice>
  </mc:AlternateContent>
  <xr:revisionPtr revIDLastSave="1" documentId="8_{E1B5AED2-6016-4774-B797-58EB152EE3E4}" xr6:coauthVersionLast="45" xr6:coauthVersionMax="45" xr10:uidLastSave="{2A1F0463-5A0A-49EC-951D-AFBF99548330}"/>
  <bookViews>
    <workbookView xWindow="2340" yWindow="2340" windowWidth="28800" windowHeight="15435" tabRatio="798"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benefits'!$A$1:$F$37</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Travel!$A$1:$E$303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8" i="1" l="1"/>
  <c r="B87" i="1"/>
  <c r="B60" i="1"/>
  <c r="B78" i="1" l="1"/>
  <c r="B122" i="1"/>
  <c r="B82" i="1" l="1"/>
  <c r="B102" i="1"/>
  <c r="B115" i="1"/>
  <c r="B111" i="1"/>
  <c r="B99" i="1"/>
  <c r="B96" i="1"/>
  <c r="B52" i="1"/>
  <c r="B26" i="1"/>
  <c r="B34" i="1"/>
  <c r="B29" i="1"/>
  <c r="B20" i="1"/>
  <c r="B90" i="1" l="1"/>
  <c r="B284" i="1"/>
  <c r="B97" i="1"/>
  <c r="B119" i="1"/>
  <c r="B56" i="1" l="1"/>
  <c r="B43" i="1"/>
  <c r="B94" i="1" l="1"/>
  <c r="B93" i="1"/>
  <c r="B91" i="1"/>
  <c r="B85" i="1" l="1"/>
  <c r="B80" i="1"/>
  <c r="B77" i="1"/>
  <c r="B75" i="1" l="1"/>
  <c r="B74" i="1"/>
  <c r="B72" i="1"/>
  <c r="B71" i="1"/>
  <c r="B66" i="1"/>
  <c r="B65" i="1"/>
  <c r="B62" i="1"/>
  <c r="B61" i="1"/>
  <c r="B41" i="1"/>
  <c r="B39" i="1"/>
  <c r="B47" i="1" l="1"/>
  <c r="B58" i="1"/>
  <c r="B53" i="1"/>
  <c r="B50" i="1"/>
  <c r="B44" i="1"/>
  <c r="B40" i="1"/>
  <c r="B38" i="1"/>
  <c r="B27" i="1"/>
  <c r="B21" i="1"/>
  <c r="B37" i="1" l="1"/>
  <c r="B35" i="1"/>
  <c r="B24" i="1"/>
  <c r="D26" i="4" l="1"/>
  <c r="C18" i="3"/>
  <c r="C24" i="2"/>
  <c r="C286" i="1"/>
  <c r="C292" i="1"/>
  <c r="C14" i="1"/>
  <c r="E59" i="13" l="1"/>
  <c r="C59" i="13"/>
  <c r="C28" i="4"/>
  <c r="C27" i="4"/>
  <c r="B59" i="13" l="1"/>
  <c r="B58" i="13"/>
  <c r="D58" i="13"/>
  <c r="B57" i="13"/>
  <c r="D57" i="13"/>
  <c r="B56" i="13"/>
  <c r="D55" i="13"/>
  <c r="B55" i="13"/>
  <c r="D54" i="13"/>
  <c r="B54" i="13"/>
  <c r="B2" i="4"/>
  <c r="B3" i="4"/>
  <c r="B2" i="3"/>
  <c r="B3" i="3"/>
  <c r="B2" i="2"/>
  <c r="B3" i="2"/>
  <c r="B2" i="1"/>
  <c r="B3" i="1"/>
  <c r="F57" i="13" l="1"/>
  <c r="D24" i="2" s="1"/>
  <c r="F59" i="13"/>
  <c r="E26" i="4" s="1"/>
  <c r="F58" i="13"/>
  <c r="D18" i="3" s="1"/>
  <c r="F55" i="13"/>
  <c r="D286" i="1" s="1"/>
  <c r="F54" i="13"/>
  <c r="D14" i="1" s="1"/>
  <c r="B5" i="4" l="1"/>
  <c r="B4" i="4"/>
  <c r="B5" i="3"/>
  <c r="B4" i="3"/>
  <c r="B5" i="2"/>
  <c r="B4" i="2"/>
  <c r="B5" i="1"/>
  <c r="B4" i="1"/>
  <c r="F12" i="13" l="1"/>
  <c r="C26" i="4"/>
  <c r="F11" i="13" s="1"/>
  <c r="F13" i="13" l="1"/>
  <c r="B292" i="1"/>
  <c r="B286" i="1"/>
  <c r="B14" i="1"/>
  <c r="D56" i="13" l="1"/>
  <c r="F56" i="13" s="1"/>
  <c r="D292" i="1" s="1"/>
  <c r="B15" i="13"/>
  <c r="B17" i="13"/>
  <c r="B16" i="13"/>
  <c r="B18" i="3"/>
  <c r="B24" i="2"/>
  <c r="B12" i="13" l="1"/>
  <c r="B13" i="13"/>
  <c r="B11" i="13"/>
  <c r="B2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1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300-000002000000}">
      <text>
        <r>
          <rPr>
            <sz val="9"/>
            <color indexed="81"/>
            <rFont val="Tahoma"/>
            <family val="2"/>
          </rPr>
          <t xml:space="preserve">
Insert additional rows as needed:
- 'right click' on a row number (left of screen)
- select 'Insert' (this will insert a row above it)
</t>
        </r>
      </text>
    </comment>
    <comment ref="A289" authorId="0" shapeId="0" xr:uid="{00000000-0006-0000-03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6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<sst xmlns="http://schemas.openxmlformats.org/spreadsheetml/2006/main" count="591" uniqueCount="342">
  <si>
    <t>Hospitality</t>
  </si>
  <si>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</si>
  <si>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</si>
  <si>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</si>
  <si>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</si>
  <si>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</si>
  <si>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</si>
  <si>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</si>
  <si>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</si>
  <si>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</si>
  <si>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</si>
  <si>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</si>
  <si>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</si>
  <si>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</si>
  <si>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</si>
  <si>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</si>
  <si>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</si>
  <si>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</si>
  <si>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</si>
  <si>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</si>
  <si>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</si>
  <si>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</si>
  <si>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</si>
  <si>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</si>
  <si>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</si>
  <si>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</si>
  <si>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</si>
  <si>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</si>
  <si>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</si>
  <si>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</si>
  <si>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</si>
  <si>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</si>
  <si>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</si>
  <si>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</si>
  <si>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</si>
  <si>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</si>
  <si>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</si>
  <si>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</si>
  <si>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</si>
  <si>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</si>
  <si>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</si>
  <si>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</si>
  <si>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</si>
  <si>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</si>
  <si>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</si>
  <si>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</si>
  <si>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</si>
  <si>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</si>
  <si>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</si>
  <si>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</si>
  <si>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</si>
  <si>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</si>
  <si>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</si>
  <si>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</si>
  <si>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Raelene Castle</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</si>
  <si>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</si>
  <si>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</si>
  <si>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</si>
  <si>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</si>
  <si>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</si>
  <si>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</si>
  <si>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</si>
  <si>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</si>
  <si>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</si>
  <si>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</si>
  <si>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</si>
  <si>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</si>
  <si>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</si>
  <si>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</si>
  <si>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</si>
  <si>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</si>
  <si>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</si>
  <si>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</si>
  <si>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</si>
  <si>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</si>
  <si>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</si>
  <si>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</si>
  <si>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</si>
  <si>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</si>
  <si>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</si>
  <si>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</si>
  <si>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</si>
  <si>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</si>
  <si>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</si>
  <si>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</si>
  <si>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</si>
  <si>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</si>
  <si>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</si>
  <si>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</si>
  <si>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</si>
  <si>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</si>
  <si>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</si>
  <si>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</si>
  <si>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</si>
  <si>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</si>
  <si>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</si>
  <si>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</si>
  <si>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</si>
  <si>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</si>
  <si>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</si>
  <si>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</si>
  <si>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</si>
  <si>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</si>
  <si>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</si>
  <si>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</si>
  <si>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</si>
  <si>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</si>
  <si>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</si>
  <si>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</si>
  <si>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</si>
  <si>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</si>
  <si>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</si>
  <si>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</si>
  <si>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</si>
  <si>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</si>
  <si>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</si>
  <si>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</si>
  <si>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</si>
  <si>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</si>
  <si>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</si>
  <si>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</si>
  <si>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</si>
  <si>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</si>
  <si>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</si>
  <si>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</si>
  <si>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</si>
  <si>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airport parking</t>
  </si>
  <si>
    <t>Auckland</t>
  </si>
  <si>
    <t>Wellington</t>
  </si>
  <si>
    <t>Various partner and stakeholder meetings in Auckland</t>
  </si>
  <si>
    <t>Uber trips x5</t>
  </si>
  <si>
    <t>Partner meeting &amp; Awards, Hamilton; various partner and staff meetings Akld</t>
  </si>
  <si>
    <t>Uber trips x2</t>
  </si>
  <si>
    <t>Mtg with Athletes' Fed and internal staff meetings, Akld</t>
  </si>
  <si>
    <t>Uber trips x3</t>
  </si>
  <si>
    <t>11-15/2/2021</t>
  </si>
  <si>
    <t>Staff and various partner meetings</t>
  </si>
  <si>
    <t>Returning to Wellington after lockdown</t>
  </si>
  <si>
    <t>Akld Sector Event; staff andstakeholder mtgs; HPSNZ board mtg</t>
  </si>
  <si>
    <t>Airfare</t>
  </si>
  <si>
    <t>Akld Sector Event; staff and stakeholder mtgs; HPSNZ board mtg</t>
  </si>
  <si>
    <t>Sport Manawatu visit</t>
  </si>
  <si>
    <t>Uber</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</si>
  <si>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</si>
  <si>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</si>
  <si>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</si>
  <si>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</si>
  <si>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</si>
  <si>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</si>
  <si>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</si>
  <si>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</si>
  <si>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</si>
  <si>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</si>
  <si>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</si>
  <si>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</si>
  <si>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</si>
  <si>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</si>
  <si>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</si>
  <si>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</si>
  <si>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</si>
  <si>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Meeting with stakeholder </t>
  </si>
  <si>
    <t>Breakfast, 2 pax</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</si>
  <si>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</si>
  <si>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</si>
  <si>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</si>
  <si>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</si>
  <si>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</si>
  <si>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</si>
  <si>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</si>
  <si>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</si>
  <si>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</si>
  <si>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</si>
  <si>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</si>
  <si>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</si>
  <si>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</si>
  <si>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</si>
  <si>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</si>
  <si>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</si>
  <si>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</si>
  <si>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</si>
  <si>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</si>
  <si>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</si>
  <si>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Sport Waikato</t>
  </si>
  <si>
    <t>America's Cup viewing</t>
  </si>
  <si>
    <t>Sir Owen Glenn</t>
  </si>
  <si>
    <t>Tickets and hosting at show jumping festival</t>
  </si>
  <si>
    <t>NZOC</t>
  </si>
  <si>
    <t>Tickets and hosting Silver Ferns v Diamonds Test</t>
  </si>
  <si>
    <t>Netball NZ</t>
  </si>
  <si>
    <t>Did not attend, no crowds allowed</t>
  </si>
  <si>
    <t>Tickets and hosting White Ferns &amp; Blackcaps double header</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</si>
  <si>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</si>
  <si>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</si>
  <si>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</si>
  <si>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</si>
  <si>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</si>
  <si>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</si>
  <si>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Uber x5</t>
  </si>
  <si>
    <t>Sport Gisborne visit</t>
  </si>
  <si>
    <t>Gisborne</t>
  </si>
  <si>
    <t>Powhiri &amp; Sport NZ board mtg; staff and stakeholder meetings; Sikh Sports Complex opening</t>
  </si>
  <si>
    <t>Meeting at Parliament</t>
  </si>
  <si>
    <t>Uber x2</t>
  </si>
  <si>
    <t>Tickets and hosting T20 Double header</t>
  </si>
  <si>
    <t>NZ Cricket</t>
  </si>
  <si>
    <t>airfare</t>
  </si>
  <si>
    <t>Mileage Akld- Whangarei</t>
  </si>
  <si>
    <t>Whangarei</t>
  </si>
  <si>
    <t>Airport parking</t>
  </si>
  <si>
    <t>Christchurch</t>
  </si>
  <si>
    <t>rental car</t>
  </si>
  <si>
    <t>Breakfast meeting with NSO</t>
  </si>
  <si>
    <t>Breakfast, 4 pax</t>
  </si>
  <si>
    <t>Tauranga</t>
  </si>
  <si>
    <t>Sport BoP visit</t>
  </si>
  <si>
    <t>Returning from Akld - Maori NSO hui, internal staff meetings</t>
  </si>
  <si>
    <t>13/14 April 2021</t>
  </si>
  <si>
    <t>Sport Tasman and Sport Canterbury visits</t>
  </si>
  <si>
    <t>Nelson/Christchurch</t>
  </si>
  <si>
    <t>NSO Forum; Aktive visit; internal meetings</t>
  </si>
  <si>
    <t>15-20 April 2021</t>
  </si>
  <si>
    <t>HPSNZ board meeting; meetings with key stakeholders</t>
  </si>
  <si>
    <t>Sport Taranaki visit</t>
  </si>
  <si>
    <t>Internal meetings at HPSNZ</t>
  </si>
  <si>
    <t>Uber x3</t>
  </si>
  <si>
    <t>Sport Hawkes Bay visit</t>
  </si>
  <si>
    <t>Napier</t>
  </si>
  <si>
    <t>Aucland</t>
  </si>
  <si>
    <t>uber x2</t>
  </si>
  <si>
    <t>uber x4</t>
  </si>
  <si>
    <t>Sport Whanganui visit</t>
  </si>
  <si>
    <t>Wellington &amp; Auckland</t>
  </si>
  <si>
    <t xml:space="preserve">Breakfast meeting with NSO </t>
  </si>
  <si>
    <t>Breakfast, 3 pax</t>
  </si>
  <si>
    <t>Wellington and Akld</t>
  </si>
  <si>
    <t>Auckland &amp; Wellington</t>
  </si>
  <si>
    <t>NZOC General Assembly; Speaking &amp; hosting table at IWG Captains Lunch</t>
  </si>
  <si>
    <t xml:space="preserve">airfare </t>
  </si>
  <si>
    <t>NSO Chairs hui; Akld College Sport AGM; internal meetings; stakeholders mtgs</t>
  </si>
  <si>
    <t>Auckland/Wgtn</t>
  </si>
  <si>
    <t xml:space="preserve">Auckland </t>
  </si>
  <si>
    <t>Working from Sport Central and HPSNZ various meetings; Balance is Better forum</t>
  </si>
  <si>
    <t>Auckland to Wgtn</t>
  </si>
  <si>
    <t>Uber x 2</t>
  </si>
  <si>
    <t>Hamilton to Wgtn</t>
  </si>
  <si>
    <t>Lunch meeting with NSO</t>
  </si>
  <si>
    <t>Queenstown</t>
  </si>
  <si>
    <t>Meeting with Minister; various internal meetings in Wellington</t>
  </si>
  <si>
    <t>Rental car</t>
  </si>
  <si>
    <t>Dunedin</t>
  </si>
  <si>
    <t>Sport Otago visit and speaking engagement</t>
  </si>
  <si>
    <t>Lunch, 2 pax</t>
  </si>
  <si>
    <t>Dinner, 2 pax</t>
  </si>
  <si>
    <t xml:space="preserve">Dinner meeting with stakeholder </t>
  </si>
  <si>
    <t>accommodation</t>
  </si>
  <si>
    <t>airport parking overnight</t>
  </si>
  <si>
    <t>Taxi</t>
  </si>
  <si>
    <t>uber (x2)</t>
  </si>
  <si>
    <t xml:space="preserve">NZOC flagbearer function, various stakeholder and staff meetings </t>
  </si>
  <si>
    <t>Returning to Wgtn from sector conference, Hamilton</t>
  </si>
  <si>
    <t>Attending Sir Eion Edgar's memorial service</t>
  </si>
  <si>
    <t>Dinner, 4 pax</t>
  </si>
  <si>
    <t xml:space="preserve">Dinner meeting with partner organisation </t>
  </si>
  <si>
    <t xml:space="preserve">Lunch meeting with stakeholder </t>
  </si>
  <si>
    <t>27/29/30 June 2021</t>
  </si>
  <si>
    <t>Wn/Qtn/Akld/Wn</t>
  </si>
  <si>
    <t>Sport NZ Board meeting and presentation to Sir Eion Edgar; mtgs in Akld with stakeholders</t>
  </si>
  <si>
    <t>29 May - 2 June 2021</t>
  </si>
  <si>
    <t>uber x1</t>
  </si>
  <si>
    <t>15 Dec 2020 - 30 June 2021</t>
  </si>
  <si>
    <t>Vodafone</t>
  </si>
  <si>
    <t>Phone and data</t>
  </si>
  <si>
    <t>Used for hosting guests at Sport NZ</t>
  </si>
  <si>
    <t>uber x 5</t>
  </si>
  <si>
    <t>Accommodation</t>
  </si>
  <si>
    <t>taxis x 2</t>
  </si>
  <si>
    <t>Uber 2</t>
  </si>
  <si>
    <t xml:space="preserve">Uber x2 </t>
  </si>
  <si>
    <t>Returning to Wellington after lockdown in Akld</t>
  </si>
  <si>
    <t xml:space="preserve">Airfares </t>
  </si>
  <si>
    <t xml:space="preserve">Airfare </t>
  </si>
  <si>
    <t>Uber x1</t>
  </si>
  <si>
    <t>service fees x3</t>
  </si>
  <si>
    <t>Travel changes</t>
  </si>
  <si>
    <t>Meetings with stakeholders in Chch</t>
  </si>
  <si>
    <t>Fresh Perspective</t>
  </si>
  <si>
    <t>25 Feb - 8 March 2021</t>
  </si>
  <si>
    <t>excluded</t>
  </si>
  <si>
    <t>Nothing to disclose</t>
  </si>
  <si>
    <t>meals 3 pax</t>
  </si>
  <si>
    <t>Ticket and hosting Mystics v Pulse game</t>
  </si>
  <si>
    <t>Ticket to Breakers game</t>
  </si>
  <si>
    <t>Breakers</t>
  </si>
  <si>
    <t>Ticket to Phoenix match</t>
  </si>
  <si>
    <t>Phoenix</t>
  </si>
  <si>
    <t>Wine x 3 bottles</t>
  </si>
  <si>
    <t>27 Jan - 1 Feb 2021</t>
  </si>
  <si>
    <t>11-15/02/2021</t>
  </si>
  <si>
    <t>Powhiri and board meeting in Auckland reschedule due to alert level change, Akld</t>
  </si>
  <si>
    <t>airfare - cancelled/refunded</t>
  </si>
  <si>
    <t>Sport NZ (Wgtn) &amp; Acting CE HPSNZ (Akld, from 23/4/21)</t>
  </si>
  <si>
    <t>Guest at a sports awards dinner</t>
  </si>
  <si>
    <t>8-10  June 2021</t>
  </si>
  <si>
    <t>meals</t>
  </si>
  <si>
    <t>8-10 June 2021</t>
  </si>
  <si>
    <t>Wn/QT/Akld</t>
  </si>
  <si>
    <t>accommodation (x4 nights)</t>
  </si>
  <si>
    <t>Speaker, Queenstown Chamber of Commerce conference (paid by conference)</t>
  </si>
  <si>
    <t>Working from Queenstown 8/6), SSNZ media event (9/6); HPSNZ board meeting (10/6)</t>
  </si>
  <si>
    <t>accommodation (x3 nights)</t>
  </si>
  <si>
    <t>Speaker, Women of Influence, Dunedin - paid by conference</t>
  </si>
  <si>
    <t>accommodation (1 night)</t>
  </si>
  <si>
    <t>airfare (Wgtn/Akld)</t>
  </si>
  <si>
    <t xml:space="preserve">Late change to schedule in Wellington (originally flying to Akld 24/3, changed to 26/3) </t>
  </si>
  <si>
    <t xml:space="preserve">Cambridge NSOs visit (26/3) cancelled due change in Wgtn schedule; Sport Northland visit (29/3); </t>
  </si>
  <si>
    <t>Attending launch Hardship Fund,Chch; &amp; stakeholder meetings; Sport Sthld visit</t>
  </si>
  <si>
    <t>Event cancelled, Alert L3 in Akld</t>
  </si>
  <si>
    <t>Chch and Invercargill</t>
  </si>
  <si>
    <t>New Plymouth</t>
  </si>
  <si>
    <t>uber x3</t>
  </si>
  <si>
    <t>29 April - 3 May 2021</t>
  </si>
  <si>
    <t>20-26 Jan 2021</t>
  </si>
  <si>
    <t>4-9 Feb 2021</t>
  </si>
  <si>
    <t>4 - 9 Feb 2021</t>
  </si>
  <si>
    <t>Attend Sport NZ Board meeting (9 Dec); commenced CE role 15 Dec 2020</t>
  </si>
  <si>
    <t>Attending stakeholder workshop and various sector meetings in Akld; Alert Level change - working from Akld</t>
  </si>
  <si>
    <t>Attending stakeholder workshop and various sector meetings in Akld; Alert Level change, working from Akd</t>
  </si>
  <si>
    <t>Attending stakedholder workshop and various sector meetings; Alert Level change - working from Akd</t>
  </si>
  <si>
    <t>Returning to Wgtn post Alert level change</t>
  </si>
  <si>
    <t>Attending netball test &amp; Cricket T20 (6 &amp; 7 March).  Alert level change; cancelled outside of policy,charge incurred</t>
  </si>
  <si>
    <t>9-12 March 2021</t>
  </si>
  <si>
    <t>17- 21 March 2021</t>
  </si>
  <si>
    <t>21-26 March 2021</t>
  </si>
  <si>
    <t>26-30 March 2021</t>
  </si>
  <si>
    <t>31- 1 April 2021</t>
  </si>
  <si>
    <t>22 - 23/04/2021</t>
  </si>
  <si>
    <t>5-10 May 2021</t>
  </si>
  <si>
    <t>11- 19 May 2021</t>
  </si>
  <si>
    <t>19-24 May 2021</t>
  </si>
  <si>
    <t>3-7 June 2021</t>
  </si>
  <si>
    <t>16-17 June 2021</t>
  </si>
  <si>
    <t>Chair, Audit Finance &amp; Risk Committee, Sport 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</si>
</sst>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 numFmtId="169" formatCode="_(* #,##0.00_);_(* \(#,##0.00\);_(* &quot;-&quot;??_);_(@_)"/>
    <numFmt numFmtId="170" formatCode="d/mm/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169" fontId="15" fillId="0" borderId="0" applyFont="0" applyFill="0" applyBorder="0" applyAlignment="0" applyProtection="0"/>
  </cellStyleXfs>
  <cellXfs count="212">
    <xf numFmtId="0" fontId="0" fillId="0" borderId="0" xfId="0"/>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2"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164" fontId="15" fillId="10" borderId="4"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3"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4"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166" fontId="34"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167" fontId="15" fillId="10" borderId="3" xfId="0" applyNumberFormat="1"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readingOrder="1"/>
    </xf>
    <xf numFmtId="2"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0" fontId="0" fillId="0" borderId="0" xfId="0" applyFill="1" applyProtection="1">
      <protection locked="0"/>
    </xf>
    <xf numFmtId="14" fontId="15" fillId="0" borderId="3" xfId="0" applyNumberFormat="1" applyFont="1" applyFill="1" applyBorder="1" applyAlignment="1" applyProtection="1">
      <alignment horizontal="left" vertical="center"/>
      <protection locked="0"/>
    </xf>
    <xf numFmtId="164"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center"/>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Border="1" applyProtection="1">
      <protection locked="0"/>
    </xf>
    <xf numFmtId="167" fontId="15" fillId="0" borderId="3" xfId="0"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4" xfId="0" applyFont="1" applyFill="1" applyBorder="1" applyAlignment="1" applyProtection="1">
      <alignment horizontal="left"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0" fontId="0" fillId="10" borderId="0" xfId="0" applyFill="1" applyProtection="1">
      <protection locked="0"/>
    </xf>
    <xf numFmtId="168" fontId="15" fillId="0" borderId="4" xfId="0" applyNumberFormat="1" applyFont="1" applyFill="1" applyBorder="1" applyAlignment="1" applyProtection="1">
      <alignment vertical="center" wrapText="1"/>
      <protection locked="0"/>
    </xf>
    <xf numFmtId="167" fontId="15" fillId="0" borderId="3" xfId="0" applyNumberFormat="1" applyFont="1" applyFill="1" applyBorder="1" applyAlignment="1" applyProtection="1">
      <alignment horizontal="left" vertical="top"/>
      <protection locked="0"/>
    </xf>
    <xf numFmtId="167" fontId="15" fillId="0" borderId="8" xfId="0" applyNumberFormat="1" applyFont="1" applyFill="1" applyBorder="1" applyAlignment="1" applyProtection="1">
      <alignment vertical="center" wrapText="1"/>
      <protection locked="0"/>
    </xf>
    <xf numFmtId="164" fontId="15" fillId="0" borderId="9" xfId="0" applyNumberFormat="1"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2" fontId="15" fillId="0" borderId="0" xfId="0" applyNumberFormat="1" applyFont="1" applyFill="1" applyBorder="1" applyAlignment="1" applyProtection="1">
      <alignment vertical="center" wrapText="1"/>
      <protection locked="0"/>
    </xf>
    <xf numFmtId="0" fontId="34" fillId="3" borderId="0" xfId="0" applyFont="1" applyFill="1" applyBorder="1" applyAlignment="1" applyProtection="1">
      <alignment horizontal="center" vertical="center" wrapText="1"/>
    </xf>
    <xf numFmtId="0" fontId="0" fillId="0" borderId="0" xfId="0" applyAlignment="1" applyProtection="1">
      <alignment horizontal="left" wrapText="1"/>
    </xf>
    <xf numFmtId="0" fontId="1" fillId="0" borderId="0" xfId="0" applyFont="1" applyBorder="1" applyAlignment="1" applyProtection="1">
      <alignment horizontal="left" wrapText="1"/>
    </xf>
    <xf numFmtId="0" fontId="2" fillId="0" borderId="0" xfId="0" applyFont="1" applyFill="1" applyBorder="1" applyAlignment="1" applyProtection="1">
      <alignment horizontal="left" wrapText="1"/>
    </xf>
    <xf numFmtId="0" fontId="1" fillId="0" borderId="0" xfId="0" applyFont="1" applyBorder="1" applyAlignment="1" applyProtection="1">
      <alignment horizontal="left" vertical="center" wrapText="1"/>
    </xf>
    <xf numFmtId="0" fontId="0" fillId="0" borderId="0" xfId="0" applyAlignment="1" applyProtection="1">
      <alignment horizontal="left" wrapText="1"/>
      <protection locked="0"/>
    </xf>
    <xf numFmtId="0" fontId="0" fillId="0" borderId="0" xfId="0" applyFill="1" applyAlignment="1" applyProtection="1">
      <alignment horizontal="left" wrapText="1"/>
      <protection locked="0"/>
    </xf>
    <xf numFmtId="0" fontId="0" fillId="0" borderId="0" xfId="0" applyBorder="1" applyAlignment="1" applyProtection="1">
      <alignment horizontal="left" wrapText="1"/>
    </xf>
    <xf numFmtId="0" fontId="0" fillId="0" borderId="0" xfId="0" applyFill="1" applyAlignment="1" applyProtection="1">
      <alignment horizontal="left"/>
      <protection locked="0"/>
    </xf>
    <xf numFmtId="2" fontId="15" fillId="0" borderId="4" xfId="0" applyNumberFormat="1" applyFont="1" applyFill="1" applyBorder="1" applyAlignment="1" applyProtection="1">
      <alignment horizontal="left" vertical="center" wrapText="1"/>
      <protection locked="0"/>
    </xf>
    <xf numFmtId="2" fontId="15" fillId="0" borderId="0"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xf>
    <xf numFmtId="0" fontId="0" fillId="0" borderId="0" xfId="0" applyFill="1" applyBorder="1" applyAlignment="1" applyProtection="1">
      <alignment horizontal="left" wrapText="1"/>
    </xf>
    <xf numFmtId="0" fontId="0" fillId="0" borderId="0" xfId="0" applyAlignment="1" applyProtection="1">
      <alignment horizontal="left"/>
    </xf>
    <xf numFmtId="2" fontId="0" fillId="0" borderId="0" xfId="0" applyNumberFormat="1" applyFill="1" applyProtection="1">
      <protection locked="0"/>
    </xf>
    <xf numFmtId="2" fontId="20" fillId="3" borderId="0" xfId="0" applyNumberFormat="1" applyFont="1" applyFill="1" applyBorder="1" applyAlignment="1" applyProtection="1">
      <alignment vertical="center"/>
    </xf>
    <xf numFmtId="167" fontId="15" fillId="0" borderId="3" xfId="0" applyNumberFormat="1" applyFont="1" applyFill="1" applyBorder="1" applyAlignment="1" applyProtection="1">
      <alignment vertical="center" wrapText="1"/>
      <protection locked="0"/>
    </xf>
    <xf numFmtId="2" fontId="15" fillId="0" borderId="0" xfId="0" applyNumberFormat="1" applyFont="1" applyFill="1" applyProtection="1">
      <protection locked="0"/>
    </xf>
    <xf numFmtId="167"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vertical="center" wrapText="1"/>
      <protection locked="0"/>
    </xf>
    <xf numFmtId="167" fontId="0" fillId="0" borderId="0" xfId="0" applyNumberFormat="1" applyFill="1" applyAlignment="1" applyProtection="1">
      <alignment horizontal="left"/>
      <protection locked="0"/>
    </xf>
    <xf numFmtId="170" fontId="15" fillId="0"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4"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4" fillId="7" borderId="0" xfId="0" applyFont="1" applyFill="1" applyBorder="1" applyAlignment="1" applyProtection="1">
      <alignment horizontal="center" vertical="center" wrapText="1"/>
    </xf>
  </cellXfs>
  <cellStyles count="4">
    <cellStyle name="Comma 12" xfId="3" xr:uid="{14185325-A569-46B4-860E-07B40BD47BBB}"/>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61"/>
  <sheetViews>
    <sheetView tabSelected="1" topLeftCell="A18" zoomScale="85" zoomScaleNormal="85" workbookViewId="0">
      <selection activeCell="A34" sqref="A34"/>
    </sheetView>
  </sheetViews>
  <sheetFormatPr defaultColWidth="0" defaultRowHeight="14.25" zeroHeight="1" x14ac:dyDescent="0.2"/>
  <cols>
    <col min="1" max="1" width="219.28515625" style="69" customWidth="1"/>
    <col min="2" max="2" width="33.28515625" style="68" customWidth="1"/>
    <col min="3" max="16384" width="8.7109375" style="16" hidden="1"/>
  </cols>
  <sheetData>
    <row r="1" spans="1:2" ht="23.25" customHeight="1" x14ac:dyDescent="0.2">
      <c r="A1" s="67" t="s">
        <v>1</v>
      </c>
    </row>
    <row r="2" spans="1:2" ht="33" customHeight="1" x14ac:dyDescent="0.2">
      <c r="A2" s="140" t="s">
        <v>2</v>
      </c>
    </row>
    <row r="3" spans="1:2" ht="17.25" customHeight="1" x14ac:dyDescent="0.2"/>
    <row r="4" spans="1:2" ht="23.25" customHeight="1" x14ac:dyDescent="0.2">
      <c r="A4" s="107" t="s">
        <v>3</v>
      </c>
    </row>
    <row r="5" spans="1:2" ht="17.25" customHeight="1" x14ac:dyDescent="0.2"/>
    <row r="6" spans="1:2" ht="23.25" customHeight="1" x14ac:dyDescent="0.2">
      <c r="A6" s="70" t="s">
        <v>4</v>
      </c>
    </row>
    <row r="7" spans="1:2" ht="17.25" customHeight="1" x14ac:dyDescent="0.2">
      <c r="A7" s="71" t="s">
        <v>5</v>
      </c>
    </row>
    <row r="8" spans="1:2" ht="17.25" customHeight="1" x14ac:dyDescent="0.2">
      <c r="A8" s="72" t="s">
        <v>6</v>
      </c>
    </row>
    <row r="9" spans="1:2" ht="17.25" customHeight="1" x14ac:dyDescent="0.2">
      <c r="A9" s="72"/>
    </row>
    <row r="10" spans="1:2" ht="23.25" customHeight="1" x14ac:dyDescent="0.2">
      <c r="A10" s="70" t="s">
        <v>7</v>
      </c>
      <c r="B10" s="111" t="s">
        <v>8</v>
      </c>
    </row>
    <row r="11" spans="1:2" ht="17.25" customHeight="1" x14ac:dyDescent="0.2">
      <c r="A11" s="73" t="s">
        <v>9</v>
      </c>
    </row>
    <row r="12" spans="1:2" ht="17.25" customHeight="1" x14ac:dyDescent="0.2">
      <c r="A12" s="72" t="s">
        <v>10</v>
      </c>
    </row>
    <row r="13" spans="1:2" ht="17.25" customHeight="1" x14ac:dyDescent="0.2">
      <c r="A13" s="72" t="s">
        <v>11</v>
      </c>
    </row>
    <row r="14" spans="1:2" ht="17.25" customHeight="1" x14ac:dyDescent="0.2">
      <c r="A14" s="74" t="s">
        <v>12</v>
      </c>
    </row>
    <row r="15" spans="1:2" ht="17.25" customHeight="1" x14ac:dyDescent="0.2">
      <c r="A15" s="72" t="s">
        <v>13</v>
      </c>
    </row>
    <row r="16" spans="1:2" ht="17.25" customHeight="1" x14ac:dyDescent="0.2">
      <c r="A16" s="72"/>
    </row>
    <row r="17" spans="1:1" ht="23.25" customHeight="1" x14ac:dyDescent="0.2">
      <c r="A17" s="70" t="s">
        <v>14</v>
      </c>
    </row>
    <row r="18" spans="1:1" ht="17.25" customHeight="1" x14ac:dyDescent="0.2">
      <c r="A18" s="74" t="s">
        <v>15</v>
      </c>
    </row>
    <row r="19" spans="1:1" ht="17.25" customHeight="1" x14ac:dyDescent="0.2">
      <c r="A19" s="74" t="s">
        <v>16</v>
      </c>
    </row>
    <row r="20" spans="1:1" ht="17.25" customHeight="1" x14ac:dyDescent="0.2">
      <c r="A20" s="103" t="s">
        <v>17</v>
      </c>
    </row>
    <row r="21" spans="1:1" ht="17.25" customHeight="1" x14ac:dyDescent="0.2">
      <c r="A21" s="75"/>
    </row>
    <row r="22" spans="1:1" ht="23.25" customHeight="1" x14ac:dyDescent="0.2">
      <c r="A22" s="70" t="s">
        <v>18</v>
      </c>
    </row>
    <row r="23" spans="1:1" ht="17.25" customHeight="1" x14ac:dyDescent="0.2">
      <c r="A23" s="75" t="s">
        <v>19</v>
      </c>
    </row>
    <row r="24" spans="1:1" ht="17.25" customHeight="1" x14ac:dyDescent="0.2">
      <c r="A24" s="75"/>
    </row>
    <row r="25" spans="1:1" ht="23.25" customHeight="1" x14ac:dyDescent="0.2">
      <c r="A25" s="70" t="s">
        <v>20</v>
      </c>
    </row>
    <row r="26" spans="1:1" ht="17.25" customHeight="1" x14ac:dyDescent="0.2">
      <c r="A26" s="76" t="s">
        <v>21</v>
      </c>
    </row>
    <row r="27" spans="1:1" ht="32.25" customHeight="1" x14ac:dyDescent="0.2">
      <c r="A27" s="74" t="s">
        <v>22</v>
      </c>
    </row>
    <row r="28" spans="1:1" ht="17.25" customHeight="1" x14ac:dyDescent="0.2">
      <c r="A28" s="76" t="s">
        <v>23</v>
      </c>
    </row>
    <row r="29" spans="1:1" ht="32.25" customHeight="1" x14ac:dyDescent="0.2">
      <c r="A29" s="74" t="s">
        <v>24</v>
      </c>
    </row>
    <row r="30" spans="1:1" ht="17.25" customHeight="1" x14ac:dyDescent="0.2">
      <c r="A30" s="76" t="s">
        <v>0</v>
      </c>
    </row>
    <row r="31" spans="1:1" ht="17.25" customHeight="1" x14ac:dyDescent="0.2">
      <c r="A31" s="74" t="s">
        <v>25</v>
      </c>
    </row>
    <row r="32" spans="1:1" ht="17.25" customHeight="1" x14ac:dyDescent="0.2">
      <c r="A32" s="76" t="s">
        <v>26</v>
      </c>
    </row>
    <row r="33" spans="1:1" ht="32.25" customHeight="1" x14ac:dyDescent="0.2">
      <c r="A33" s="77" t="s">
        <v>27</v>
      </c>
    </row>
    <row r="34" spans="1:1" ht="32.25" customHeight="1" x14ac:dyDescent="0.2">
      <c r="A34" s="78" t="s">
        <v>28</v>
      </c>
    </row>
    <row r="35" spans="1:1" ht="17.25" customHeight="1" x14ac:dyDescent="0.2">
      <c r="A35" s="76" t="s">
        <v>29</v>
      </c>
    </row>
    <row r="36" spans="1:1" ht="32.25" customHeight="1" x14ac:dyDescent="0.2">
      <c r="A36" s="74" t="s">
        <v>30</v>
      </c>
    </row>
    <row r="37" spans="1:1" ht="32.25" customHeight="1" x14ac:dyDescent="0.2">
      <c r="A37" s="77" t="s">
        <v>31</v>
      </c>
    </row>
    <row r="38" spans="1:1" ht="32.25" customHeight="1" x14ac:dyDescent="0.2">
      <c r="A38" s="74" t="s">
        <v>32</v>
      </c>
    </row>
    <row r="39" spans="1:1" ht="17.25" customHeight="1" x14ac:dyDescent="0.2">
      <c r="A39" s="78"/>
    </row>
    <row r="40" spans="1:1" ht="22.5" customHeight="1" x14ac:dyDescent="0.2">
      <c r="A40" s="70" t="s">
        <v>33</v>
      </c>
    </row>
    <row r="41" spans="1:1" ht="17.25" customHeight="1" x14ac:dyDescent="0.2">
      <c r="A41" s="83" t="s">
        <v>34</v>
      </c>
    </row>
    <row r="42" spans="1:1" ht="17.25" customHeight="1" x14ac:dyDescent="0.2">
      <c r="A42" s="79" t="s">
        <v>35</v>
      </c>
    </row>
    <row r="43" spans="1:1" ht="17.25" customHeight="1" x14ac:dyDescent="0.2">
      <c r="A43" s="80" t="s">
        <v>36</v>
      </c>
    </row>
    <row r="44" spans="1:1" ht="32.25" customHeight="1" x14ac:dyDescent="0.2">
      <c r="A44" s="80" t="s">
        <v>37</v>
      </c>
    </row>
    <row r="45" spans="1:1" ht="32.25" customHeight="1" x14ac:dyDescent="0.2">
      <c r="A45" s="80" t="s">
        <v>38</v>
      </c>
    </row>
    <row r="46" spans="1:1" ht="17.25" customHeight="1" x14ac:dyDescent="0.2">
      <c r="A46" s="81" t="s">
        <v>39</v>
      </c>
    </row>
    <row r="47" spans="1:1" ht="32.25" customHeight="1" x14ac:dyDescent="0.2">
      <c r="A47" s="77" t="s">
        <v>40</v>
      </c>
    </row>
    <row r="48" spans="1:1" ht="32.25" customHeight="1" x14ac:dyDescent="0.2">
      <c r="A48" s="77" t="s">
        <v>41</v>
      </c>
    </row>
    <row r="49" spans="1:1" ht="32.25" customHeight="1" x14ac:dyDescent="0.2">
      <c r="A49" s="80" t="s">
        <v>42</v>
      </c>
    </row>
    <row r="50" spans="1:1" ht="17.25" customHeight="1" x14ac:dyDescent="0.2">
      <c r="A50" s="80" t="s">
        <v>43</v>
      </c>
    </row>
    <row r="51" spans="1:1" ht="17.25" customHeight="1" x14ac:dyDescent="0.2">
      <c r="A51" s="80" t="s">
        <v>44</v>
      </c>
    </row>
    <row r="52" spans="1:1" ht="17.25" customHeight="1" x14ac:dyDescent="0.2">
      <c r="A52" s="80"/>
    </row>
    <row r="53" spans="1:1" ht="22.5" customHeight="1" x14ac:dyDescent="0.2">
      <c r="A53" s="70" t="s">
        <v>45</v>
      </c>
    </row>
    <row r="54" spans="1:1" ht="32.25" customHeight="1" x14ac:dyDescent="0.2">
      <c r="A54" s="140" t="s">
        <v>46</v>
      </c>
    </row>
    <row r="55" spans="1:1" ht="17.25" customHeight="1" x14ac:dyDescent="0.2">
      <c r="A55" s="82" t="s">
        <v>47</v>
      </c>
    </row>
    <row r="56" spans="1:1" ht="17.25" customHeight="1" x14ac:dyDescent="0.2">
      <c r="A56" s="83" t="s">
        <v>48</v>
      </c>
    </row>
    <row r="57" spans="1:1" ht="17.25" customHeight="1" x14ac:dyDescent="0.2">
      <c r="A57" s="103" t="s">
        <v>49</v>
      </c>
    </row>
    <row r="58" spans="1:1" ht="17.25" customHeight="1" x14ac:dyDescent="0.2">
      <c r="A58" s="84" t="s">
        <v>50</v>
      </c>
    </row>
    <row r="59" spans="1:1" x14ac:dyDescent="0.2"/>
    <row r="61" spans="1:1" hidden="1" x14ac:dyDescent="0.2">
      <c r="A61" s="85"/>
    </row>
  </sheetData>
  <sheetProtection sheet="1" objects="1" scenarios="1"/>
  <hyperlinks>
    <hyperlink ref="A20" r:id="rId1" xr:uid="{00000000-0004-0000-0100-000000000000}"/>
    <hyperlink ref="A41" r:id="rId2" xr:uid="{00000000-0004-0000-0100-000001000000}"/>
    <hyperlink ref="A55" r:id="rId3" xr:uid="{00000000-0004-0000-0100-000002000000}"/>
    <hyperlink ref="A56" r:id="rId4" display="mailto:info@data.govt.nz" xr:uid="{00000000-0004-0000-0100-000003000000}"/>
    <hyperlink ref="A58" r:id="rId5" display="http://www.ssc.govt.nz/ce-expenses-disclosure" xr:uid="{00000000-0004-0000-0100-000004000000}"/>
    <hyperlink ref="A2" r:id="rId6" display="http://www.ssc.govt.nz/sites/all/files/ce-expense-disclosures-guide-agency-staff-2017.docx" xr:uid="{00000000-0004-0000-0100-000005000000}"/>
    <hyperlink ref="A54" r:id="rId7" display="http://www.ssc.govt.nz/sites/all/files/ce-expense-disclosures-guide-agency-staff-2017.docx" xr:uid="{00000000-0004-0000-0100-000006000000}"/>
    <hyperlink ref="A57" r:id="rId8" display="They are posted on agency websites and linked to www.data.govt.nz. See: https://www.data.govt.nz/toolkit/how-do-i-add-or-update-our-chief-executive-expenses/" xr:uid="{00000000-0004-0000-01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K60"/>
  <sheetViews>
    <sheetView zoomScaleNormal="100" workbookViewId="0">
      <selection activeCell="B17" sqref="B1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94" t="s">
        <v>51</v>
      </c>
      <c r="B1" s="194"/>
      <c r="C1" s="194"/>
      <c r="D1" s="194"/>
      <c r="E1" s="194"/>
      <c r="F1" s="194"/>
      <c r="G1" s="47"/>
      <c r="H1" s="47"/>
      <c r="I1" s="47"/>
      <c r="J1" s="47"/>
      <c r="K1" s="47"/>
    </row>
    <row r="2" spans="1:11" ht="21" customHeight="1" x14ac:dyDescent="0.2">
      <c r="A2" s="3" t="s">
        <v>52</v>
      </c>
      <c r="B2" s="195" t="s">
        <v>300</v>
      </c>
      <c r="C2" s="195"/>
      <c r="D2" s="195"/>
      <c r="E2" s="195"/>
      <c r="F2" s="195"/>
      <c r="G2" s="47"/>
      <c r="H2" s="47"/>
      <c r="I2" s="47"/>
      <c r="J2" s="47"/>
      <c r="K2" s="47"/>
    </row>
    <row r="3" spans="1:11" ht="21" customHeight="1" x14ac:dyDescent="0.2">
      <c r="A3" s="3" t="s">
        <v>53</v>
      </c>
      <c r="B3" s="195" t="s">
        <v>54</v>
      </c>
      <c r="C3" s="195"/>
      <c r="D3" s="195"/>
      <c r="E3" s="195"/>
      <c r="F3" s="195"/>
      <c r="G3" s="47"/>
      <c r="H3" s="47"/>
      <c r="I3" s="47"/>
      <c r="J3" s="47"/>
      <c r="K3" s="47"/>
    </row>
    <row r="4" spans="1:11" ht="21" customHeight="1" x14ac:dyDescent="0.2">
      <c r="A4" s="3" t="s">
        <v>55</v>
      </c>
      <c r="B4" s="196">
        <v>44180</v>
      </c>
      <c r="C4" s="196"/>
      <c r="D4" s="196"/>
      <c r="E4" s="196"/>
      <c r="F4" s="196"/>
      <c r="G4" s="47"/>
      <c r="H4" s="47"/>
      <c r="I4" s="47"/>
      <c r="J4" s="47"/>
      <c r="K4" s="47"/>
    </row>
    <row r="5" spans="1:11" ht="21" customHeight="1" x14ac:dyDescent="0.2">
      <c r="A5" s="3" t="s">
        <v>56</v>
      </c>
      <c r="B5" s="196">
        <v>44377</v>
      </c>
      <c r="C5" s="196"/>
      <c r="D5" s="196"/>
      <c r="E5" s="196"/>
      <c r="F5" s="196"/>
      <c r="G5" s="47"/>
      <c r="H5" s="47"/>
      <c r="I5" s="47"/>
      <c r="J5" s="47"/>
      <c r="K5" s="47"/>
    </row>
    <row r="6" spans="1:11" ht="21" customHeight="1" x14ac:dyDescent="0.2">
      <c r="A6" s="3" t="s">
        <v>57</v>
      </c>
      <c r="B6" s="193"/>
      <c r="C6" s="193"/>
      <c r="D6" s="193"/>
      <c r="E6" s="193"/>
      <c r="F6" s="193"/>
      <c r="G6" s="35"/>
      <c r="H6" s="47"/>
      <c r="I6" s="47"/>
      <c r="J6" s="47"/>
      <c r="K6" s="47"/>
    </row>
    <row r="7" spans="1:11" ht="21" customHeight="1" x14ac:dyDescent="0.2">
      <c r="A7" s="3" t="s">
        <v>58</v>
      </c>
      <c r="B7" s="192" t="s">
        <v>90</v>
      </c>
      <c r="C7" s="192"/>
      <c r="D7" s="192"/>
      <c r="E7" s="192"/>
      <c r="F7" s="192"/>
      <c r="G7" s="35"/>
      <c r="H7" s="47"/>
      <c r="I7" s="47"/>
      <c r="J7" s="47"/>
      <c r="K7" s="47"/>
    </row>
    <row r="8" spans="1:11" ht="21" customHeight="1" x14ac:dyDescent="0.2">
      <c r="A8" s="3" t="s">
        <v>59</v>
      </c>
      <c r="B8" s="192" t="s">
        <v>341</v>
      </c>
      <c r="C8" s="192"/>
      <c r="D8" s="192"/>
      <c r="E8" s="192"/>
      <c r="F8" s="192"/>
      <c r="G8" s="35"/>
      <c r="H8" s="47"/>
      <c r="I8" s="47"/>
      <c r="J8" s="47"/>
      <c r="K8" s="47"/>
    </row>
    <row r="9" spans="1:11" ht="66.75" customHeight="1" x14ac:dyDescent="0.2">
      <c r="A9" s="191" t="s">
        <v>60</v>
      </c>
      <c r="B9" s="191"/>
      <c r="C9" s="191"/>
      <c r="D9" s="191"/>
      <c r="E9" s="191"/>
      <c r="F9" s="191"/>
      <c r="G9" s="35"/>
      <c r="H9" s="47"/>
      <c r="I9" s="47"/>
      <c r="J9" s="47"/>
      <c r="K9" s="47"/>
    </row>
    <row r="10" spans="1:11" s="139" customFormat="1" ht="36" customHeight="1" x14ac:dyDescent="0.2">
      <c r="A10" s="133" t="s">
        <v>61</v>
      </c>
      <c r="B10" s="134" t="s">
        <v>62</v>
      </c>
      <c r="C10" s="134" t="s">
        <v>63</v>
      </c>
      <c r="D10" s="135"/>
      <c r="E10" s="136" t="s">
        <v>29</v>
      </c>
      <c r="F10" s="137" t="s">
        <v>64</v>
      </c>
      <c r="G10" s="138"/>
      <c r="H10" s="138"/>
      <c r="I10" s="138"/>
      <c r="J10" s="138"/>
      <c r="K10" s="138"/>
    </row>
    <row r="11" spans="1:11" ht="27.75" customHeight="1" x14ac:dyDescent="0.2">
      <c r="A11" s="10" t="s">
        <v>65</v>
      </c>
      <c r="B11" s="96">
        <f>B15+B16+B17</f>
        <v>14653.5</v>
      </c>
      <c r="C11" s="104" t="s">
        <v>287</v>
      </c>
      <c r="D11" s="7"/>
      <c r="E11" s="10" t="s">
        <v>66</v>
      </c>
      <c r="F11" s="55">
        <f>'Gifts and benefits'!C26</f>
        <v>10</v>
      </c>
      <c r="G11" s="48"/>
      <c r="H11" s="48"/>
      <c r="I11" s="48"/>
      <c r="J11" s="48"/>
      <c r="K11" s="48"/>
    </row>
    <row r="12" spans="1:11" ht="27.75" customHeight="1" x14ac:dyDescent="0.2">
      <c r="A12" s="10" t="s">
        <v>0</v>
      </c>
      <c r="B12" s="96">
        <f>Hospitality!B24</f>
        <v>656.07999999999993</v>
      </c>
      <c r="C12" s="104" t="s">
        <v>287</v>
      </c>
      <c r="D12" s="7"/>
      <c r="E12" s="10" t="s">
        <v>67</v>
      </c>
      <c r="F12" s="55">
        <f>'Gifts and benefits'!C27</f>
        <v>8</v>
      </c>
      <c r="G12" s="48"/>
      <c r="H12" s="48"/>
      <c r="I12" s="48"/>
      <c r="J12" s="48"/>
      <c r="K12" s="48"/>
    </row>
    <row r="13" spans="1:11" ht="27.75" customHeight="1" x14ac:dyDescent="0.2">
      <c r="A13" s="10" t="s">
        <v>68</v>
      </c>
      <c r="B13" s="96">
        <f>'All other expenses'!B18</f>
        <v>350</v>
      </c>
      <c r="C13" s="104" t="s">
        <v>287</v>
      </c>
      <c r="D13" s="7"/>
      <c r="E13" s="10" t="s">
        <v>69</v>
      </c>
      <c r="F13" s="55">
        <f>'Gifts and benefits'!C28</f>
        <v>2</v>
      </c>
      <c r="G13" s="47"/>
      <c r="H13" s="47"/>
      <c r="I13" s="47"/>
      <c r="J13" s="47"/>
      <c r="K13" s="47"/>
    </row>
    <row r="14" spans="1:11" ht="12.75" customHeight="1" x14ac:dyDescent="0.2">
      <c r="A14" s="9"/>
      <c r="B14" s="97"/>
      <c r="C14" s="104" t="s">
        <v>287</v>
      </c>
      <c r="D14" s="56"/>
      <c r="E14" s="7"/>
      <c r="F14" s="57"/>
      <c r="G14" s="27"/>
      <c r="H14" s="27"/>
      <c r="I14" s="27"/>
      <c r="J14" s="27"/>
      <c r="K14" s="27"/>
    </row>
    <row r="15" spans="1:11" ht="27.75" customHeight="1" x14ac:dyDescent="0.2">
      <c r="A15" s="11" t="s">
        <v>70</v>
      </c>
      <c r="B15" s="98">
        <f>Travel!B14</f>
        <v>0</v>
      </c>
      <c r="C15" s="104" t="s">
        <v>287</v>
      </c>
      <c r="D15" s="7"/>
      <c r="E15" s="7"/>
      <c r="F15" s="57"/>
      <c r="G15" s="47"/>
      <c r="H15" s="47"/>
      <c r="I15" s="47"/>
      <c r="J15" s="47"/>
      <c r="K15" s="47"/>
    </row>
    <row r="16" spans="1:11" ht="27.75" customHeight="1" x14ac:dyDescent="0.2">
      <c r="A16" s="11" t="s">
        <v>71</v>
      </c>
      <c r="B16" s="98">
        <f>Travel!B286</f>
        <v>14640.82</v>
      </c>
      <c r="C16" s="104" t="s">
        <v>287</v>
      </c>
      <c r="D16" s="58"/>
      <c r="E16" s="7"/>
      <c r="F16" s="59"/>
      <c r="G16" s="47"/>
      <c r="H16" s="47"/>
      <c r="I16" s="47"/>
      <c r="J16" s="47"/>
      <c r="K16" s="47"/>
    </row>
    <row r="17" spans="1:11" ht="27.75" customHeight="1" x14ac:dyDescent="0.2">
      <c r="A17" s="11" t="s">
        <v>72</v>
      </c>
      <c r="B17" s="98">
        <f>Travel!B292</f>
        <v>12.68</v>
      </c>
      <c r="C17" s="104" t="s">
        <v>287</v>
      </c>
      <c r="D17" s="7"/>
      <c r="E17" s="7"/>
      <c r="F17" s="59"/>
      <c r="G17" s="47"/>
      <c r="H17" s="47"/>
      <c r="I17" s="47"/>
      <c r="J17" s="47"/>
      <c r="K17" s="47"/>
    </row>
    <row r="18" spans="1:11" ht="27.75" customHeight="1" x14ac:dyDescent="0.2">
      <c r="A18" s="28"/>
      <c r="B18" s="23"/>
      <c r="C18" s="28"/>
      <c r="D18" s="6"/>
      <c r="E18" s="6"/>
      <c r="F18" s="60"/>
      <c r="G18" s="61"/>
      <c r="H18" s="61"/>
      <c r="I18" s="61"/>
      <c r="J18" s="61"/>
      <c r="K18" s="61"/>
    </row>
    <row r="19" spans="1:11" x14ac:dyDescent="0.2">
      <c r="A19" s="51" t="s">
        <v>73</v>
      </c>
      <c r="B19" s="26"/>
      <c r="C19" s="27"/>
      <c r="D19" s="28"/>
      <c r="E19" s="28"/>
      <c r="F19" s="28"/>
      <c r="G19" s="28"/>
      <c r="H19" s="28"/>
      <c r="I19" s="28"/>
      <c r="J19" s="28"/>
      <c r="K19" s="28"/>
    </row>
    <row r="20" spans="1:11" x14ac:dyDescent="0.2">
      <c r="A20" s="24" t="s">
        <v>74</v>
      </c>
      <c r="B20" s="52"/>
      <c r="C20" s="52"/>
      <c r="D20" s="27"/>
      <c r="E20" s="27"/>
      <c r="F20" s="27"/>
      <c r="G20" s="28"/>
      <c r="H20" s="28"/>
      <c r="I20" s="28"/>
      <c r="J20" s="28"/>
      <c r="K20" s="28"/>
    </row>
    <row r="21" spans="1:11" ht="12.6" customHeight="1" x14ac:dyDescent="0.2">
      <c r="A21" s="24" t="s">
        <v>75</v>
      </c>
      <c r="B21" s="52"/>
      <c r="C21" s="52"/>
      <c r="D21" s="21"/>
      <c r="E21" s="28"/>
      <c r="F21" s="28"/>
      <c r="G21" s="28"/>
      <c r="H21" s="28"/>
      <c r="I21" s="28"/>
      <c r="J21" s="28"/>
      <c r="K21" s="28"/>
    </row>
    <row r="22" spans="1:11" ht="12.6" customHeight="1" x14ac:dyDescent="0.2">
      <c r="A22" s="24" t="s">
        <v>76</v>
      </c>
      <c r="B22" s="52"/>
      <c r="C22" s="52"/>
      <c r="D22" s="21"/>
      <c r="E22" s="28"/>
      <c r="F22" s="28"/>
      <c r="G22" s="28"/>
      <c r="H22" s="28"/>
      <c r="I22" s="28"/>
      <c r="J22" s="28"/>
      <c r="K22" s="28"/>
    </row>
    <row r="23" spans="1:11" ht="12.6" customHeight="1" x14ac:dyDescent="0.2">
      <c r="A23" s="24" t="s">
        <v>77</v>
      </c>
      <c r="B23" s="52"/>
      <c r="C23" s="52"/>
      <c r="D23" s="21"/>
      <c r="E23" s="28"/>
      <c r="F23" s="28"/>
      <c r="G23" s="28"/>
      <c r="H23" s="28"/>
      <c r="I23" s="28"/>
      <c r="J23" s="28"/>
      <c r="K23" s="28"/>
    </row>
    <row r="24" spans="1:11" x14ac:dyDescent="0.2">
      <c r="A24" s="41"/>
      <c r="B24" s="28"/>
      <c r="C24" s="28"/>
      <c r="D24" s="28"/>
      <c r="E24" s="28"/>
      <c r="F24" s="47"/>
      <c r="G24" s="47"/>
      <c r="H24" s="47"/>
      <c r="I24" s="47"/>
      <c r="J24" s="47"/>
      <c r="K24" s="47"/>
    </row>
    <row r="25" spans="1:11" hidden="1" x14ac:dyDescent="0.2">
      <c r="A25" s="14" t="s">
        <v>78</v>
      </c>
      <c r="B25" s="15"/>
      <c r="C25" s="15"/>
      <c r="D25" s="15"/>
      <c r="E25" s="15"/>
      <c r="F25" s="15"/>
      <c r="G25" s="47"/>
      <c r="H25" s="47"/>
      <c r="I25" s="47"/>
      <c r="J25" s="47"/>
      <c r="K25" s="47"/>
    </row>
    <row r="26" spans="1:11" ht="12.75" hidden="1" customHeight="1" x14ac:dyDescent="0.2">
      <c r="A26" s="13" t="s">
        <v>79</v>
      </c>
      <c r="B26" s="5"/>
      <c r="C26" s="5"/>
      <c r="D26" s="13"/>
      <c r="E26" s="13"/>
      <c r="F26" s="13"/>
      <c r="G26" s="47"/>
      <c r="H26" s="47"/>
      <c r="I26" s="47"/>
      <c r="J26" s="47"/>
      <c r="K26" s="47"/>
    </row>
    <row r="27" spans="1:11" hidden="1" x14ac:dyDescent="0.2">
      <c r="A27" s="12" t="s">
        <v>80</v>
      </c>
      <c r="B27" s="12"/>
      <c r="C27" s="12"/>
      <c r="D27" s="12"/>
      <c r="E27" s="12"/>
      <c r="F27" s="12"/>
      <c r="G27" s="47"/>
      <c r="H27" s="47"/>
      <c r="I27" s="47"/>
      <c r="J27" s="47"/>
      <c r="K27" s="47"/>
    </row>
    <row r="28" spans="1:11" hidden="1" x14ac:dyDescent="0.2">
      <c r="A28" s="12" t="s">
        <v>81</v>
      </c>
      <c r="B28" s="12"/>
      <c r="C28" s="12"/>
      <c r="D28" s="12"/>
      <c r="E28" s="12"/>
      <c r="F28" s="12"/>
      <c r="G28" s="47"/>
      <c r="H28" s="47"/>
      <c r="I28" s="47"/>
      <c r="J28" s="47"/>
      <c r="K28" s="47"/>
    </row>
    <row r="29" spans="1:11" hidden="1" x14ac:dyDescent="0.2">
      <c r="A29" s="13" t="s">
        <v>82</v>
      </c>
      <c r="B29" s="13"/>
      <c r="C29" s="13"/>
      <c r="D29" s="13"/>
      <c r="E29" s="13"/>
      <c r="F29" s="13"/>
      <c r="G29" s="47"/>
      <c r="H29" s="47"/>
      <c r="I29" s="47"/>
      <c r="J29" s="47"/>
      <c r="K29" s="47"/>
    </row>
    <row r="30" spans="1:11" hidden="1" x14ac:dyDescent="0.2">
      <c r="A30" s="13" t="s">
        <v>83</v>
      </c>
      <c r="B30" s="13"/>
      <c r="C30" s="13"/>
      <c r="D30" s="13"/>
      <c r="E30" s="13"/>
      <c r="F30" s="13"/>
      <c r="G30" s="47"/>
      <c r="H30" s="47"/>
      <c r="I30" s="47"/>
      <c r="J30" s="47"/>
      <c r="K30" s="47"/>
    </row>
    <row r="31" spans="1:11" hidden="1" x14ac:dyDescent="0.2">
      <c r="A31" s="12" t="s">
        <v>84</v>
      </c>
      <c r="B31" s="12"/>
      <c r="C31" s="12"/>
      <c r="D31" s="12"/>
      <c r="E31" s="12"/>
      <c r="F31" s="12"/>
      <c r="G31" s="47"/>
      <c r="H31" s="47"/>
      <c r="I31" s="47"/>
      <c r="J31" s="47"/>
      <c r="K31" s="47"/>
    </row>
    <row r="32" spans="1:11" hidden="1" x14ac:dyDescent="0.2">
      <c r="A32" s="12" t="s">
        <v>85</v>
      </c>
      <c r="B32" s="12"/>
      <c r="C32" s="12"/>
      <c r="D32" s="12"/>
      <c r="E32" s="12"/>
      <c r="F32" s="12"/>
      <c r="G32" s="47"/>
      <c r="H32" s="47"/>
      <c r="I32" s="47"/>
      <c r="J32" s="47"/>
      <c r="K32" s="47"/>
    </row>
    <row r="33" spans="1:11" hidden="1" x14ac:dyDescent="0.2">
      <c r="A33" s="12" t="s">
        <v>86</v>
      </c>
      <c r="B33" s="12"/>
      <c r="C33" s="12"/>
      <c r="D33" s="12"/>
      <c r="E33" s="12"/>
      <c r="F33" s="12"/>
      <c r="G33" s="47"/>
      <c r="H33" s="47"/>
      <c r="I33" s="47"/>
      <c r="J33" s="47"/>
      <c r="K33" s="47"/>
    </row>
    <row r="34" spans="1:11" hidden="1" x14ac:dyDescent="0.2">
      <c r="A34" s="13" t="s">
        <v>87</v>
      </c>
      <c r="B34" s="13"/>
      <c r="C34" s="13"/>
      <c r="D34" s="13"/>
      <c r="E34" s="13"/>
      <c r="F34" s="13"/>
      <c r="G34" s="47"/>
      <c r="H34" s="47"/>
      <c r="I34" s="47"/>
      <c r="J34" s="47"/>
      <c r="K34" s="47"/>
    </row>
    <row r="35" spans="1:11" hidden="1" x14ac:dyDescent="0.2">
      <c r="A35" s="13" t="s">
        <v>88</v>
      </c>
      <c r="B35" s="13"/>
      <c r="C35" s="13"/>
      <c r="D35" s="13"/>
      <c r="E35" s="13"/>
      <c r="F35" s="13"/>
      <c r="G35" s="47"/>
      <c r="H35" s="47"/>
      <c r="I35" s="47"/>
      <c r="J35" s="47"/>
      <c r="K35" s="47"/>
    </row>
    <row r="36" spans="1:11" hidden="1" x14ac:dyDescent="0.2">
      <c r="A36" s="101" t="s">
        <v>89</v>
      </c>
      <c r="B36" s="100"/>
      <c r="C36" s="100"/>
      <c r="D36" s="100"/>
      <c r="E36" s="100"/>
      <c r="F36" s="100"/>
      <c r="G36" s="47"/>
      <c r="H36" s="47"/>
      <c r="I36" s="47"/>
      <c r="J36" s="47"/>
      <c r="K36" s="47"/>
    </row>
    <row r="37" spans="1:11" hidden="1" x14ac:dyDescent="0.2">
      <c r="A37" s="101" t="s">
        <v>90</v>
      </c>
      <c r="B37" s="100"/>
      <c r="C37" s="100"/>
      <c r="D37" s="100"/>
      <c r="E37" s="100"/>
      <c r="F37" s="100"/>
      <c r="G37" s="47"/>
      <c r="H37" s="47"/>
      <c r="I37" s="47"/>
      <c r="J37" s="47"/>
      <c r="K37" s="47"/>
    </row>
    <row r="38" spans="1:11" hidden="1" x14ac:dyDescent="0.2">
      <c r="A38" s="62" t="s">
        <v>91</v>
      </c>
      <c r="B38" s="4"/>
      <c r="C38" s="4"/>
      <c r="D38" s="4"/>
      <c r="E38" s="4"/>
      <c r="F38" s="4"/>
      <c r="G38" s="47"/>
      <c r="H38" s="47"/>
      <c r="I38" s="47"/>
      <c r="J38" s="47"/>
      <c r="K38" s="47"/>
    </row>
    <row r="39" spans="1:11" hidden="1" x14ac:dyDescent="0.2">
      <c r="A39" s="63" t="s">
        <v>92</v>
      </c>
      <c r="B39" s="4"/>
      <c r="C39" s="4"/>
      <c r="D39" s="4"/>
      <c r="E39" s="4"/>
      <c r="F39" s="4"/>
      <c r="G39" s="47"/>
      <c r="H39" s="47"/>
      <c r="I39" s="47"/>
      <c r="J39" s="47"/>
      <c r="K39" s="47"/>
    </row>
    <row r="40" spans="1:11" hidden="1" x14ac:dyDescent="0.2">
      <c r="A40" s="63" t="s">
        <v>93</v>
      </c>
      <c r="B40" s="4"/>
      <c r="C40" s="4"/>
      <c r="D40" s="4"/>
      <c r="E40" s="4"/>
      <c r="F40" s="4"/>
      <c r="G40" s="47"/>
      <c r="H40" s="47"/>
      <c r="I40" s="47"/>
      <c r="J40" s="47"/>
      <c r="K40" s="47"/>
    </row>
    <row r="41" spans="1:11" hidden="1" x14ac:dyDescent="0.2">
      <c r="A41" s="63" t="s">
        <v>94</v>
      </c>
      <c r="B41" s="4"/>
      <c r="C41" s="4"/>
      <c r="D41" s="4"/>
      <c r="E41" s="4"/>
      <c r="F41" s="4"/>
      <c r="G41" s="47"/>
      <c r="H41" s="47"/>
      <c r="I41" s="47"/>
      <c r="J41" s="47"/>
      <c r="K41" s="47"/>
    </row>
    <row r="42" spans="1:11" hidden="1" x14ac:dyDescent="0.2">
      <c r="A42" s="63" t="s">
        <v>95</v>
      </c>
      <c r="B42" s="4"/>
      <c r="C42" s="4"/>
      <c r="D42" s="4"/>
      <c r="E42" s="4"/>
      <c r="F42" s="4"/>
      <c r="G42" s="47"/>
      <c r="H42" s="47"/>
      <c r="I42" s="47"/>
      <c r="J42" s="47"/>
      <c r="K42" s="47"/>
    </row>
    <row r="43" spans="1:11" hidden="1" x14ac:dyDescent="0.2">
      <c r="A43" s="63" t="s">
        <v>96</v>
      </c>
      <c r="B43" s="4"/>
      <c r="C43" s="4"/>
      <c r="D43" s="4"/>
      <c r="E43" s="4"/>
      <c r="F43" s="4"/>
      <c r="G43" s="47"/>
      <c r="H43" s="47"/>
      <c r="I43" s="47"/>
      <c r="J43" s="47"/>
      <c r="K43" s="47"/>
    </row>
    <row r="44" spans="1:11" hidden="1" x14ac:dyDescent="0.2">
      <c r="A44" s="102" t="s">
        <v>97</v>
      </c>
      <c r="B44" s="100"/>
      <c r="C44" s="100"/>
      <c r="D44" s="100"/>
      <c r="E44" s="100"/>
      <c r="F44" s="100"/>
      <c r="G44" s="47"/>
      <c r="H44" s="47"/>
      <c r="I44" s="47"/>
      <c r="J44" s="47"/>
      <c r="K44" s="47"/>
    </row>
    <row r="45" spans="1:11" hidden="1" x14ac:dyDescent="0.2">
      <c r="A45" s="100" t="s">
        <v>98</v>
      </c>
      <c r="B45" s="100"/>
      <c r="C45" s="100"/>
      <c r="D45" s="100"/>
      <c r="E45" s="100"/>
      <c r="F45" s="100"/>
      <c r="G45" s="47"/>
      <c r="H45" s="47"/>
      <c r="I45" s="47"/>
      <c r="J45" s="47"/>
      <c r="K45" s="47"/>
    </row>
    <row r="46" spans="1:11" hidden="1" x14ac:dyDescent="0.2">
      <c r="A46" s="64">
        <v>-20000</v>
      </c>
      <c r="B46" s="4"/>
      <c r="C46" s="4"/>
      <c r="D46" s="4"/>
      <c r="E46" s="4"/>
      <c r="F46" s="4"/>
      <c r="G46" s="47"/>
      <c r="H46" s="47"/>
      <c r="I46" s="47"/>
      <c r="J46" s="47"/>
      <c r="K46" s="47"/>
    </row>
    <row r="47" spans="1:11" ht="25.5" hidden="1" x14ac:dyDescent="0.2">
      <c r="A47" s="127" t="s">
        <v>99</v>
      </c>
      <c r="B47" s="100"/>
      <c r="C47" s="100"/>
      <c r="D47" s="100"/>
      <c r="E47" s="100"/>
      <c r="F47" s="100"/>
      <c r="G47" s="47"/>
      <c r="H47" s="47"/>
      <c r="I47" s="47"/>
      <c r="J47" s="47"/>
      <c r="K47" s="47"/>
    </row>
    <row r="48" spans="1:11" ht="25.5" hidden="1" x14ac:dyDescent="0.2">
      <c r="A48" s="127" t="s">
        <v>100</v>
      </c>
      <c r="B48" s="100"/>
      <c r="C48" s="100"/>
      <c r="D48" s="100"/>
      <c r="E48" s="100"/>
      <c r="F48" s="100"/>
      <c r="G48" s="47"/>
      <c r="H48" s="47"/>
      <c r="I48" s="47"/>
      <c r="J48" s="47"/>
      <c r="K48" s="47"/>
    </row>
    <row r="49" spans="1:11" ht="25.5" hidden="1" x14ac:dyDescent="0.2">
      <c r="A49" s="128" t="s">
        <v>101</v>
      </c>
      <c r="B49" s="4"/>
      <c r="C49" s="4"/>
      <c r="D49" s="4"/>
      <c r="E49" s="4"/>
      <c r="F49" s="4"/>
      <c r="G49" s="47"/>
      <c r="H49" s="47"/>
      <c r="I49" s="47"/>
      <c r="J49" s="47"/>
      <c r="K49" s="47"/>
    </row>
    <row r="50" spans="1:11" ht="25.5" hidden="1" x14ac:dyDescent="0.2">
      <c r="A50" s="128" t="s">
        <v>102</v>
      </c>
      <c r="B50" s="4"/>
      <c r="C50" s="4"/>
      <c r="D50" s="4"/>
      <c r="E50" s="4"/>
      <c r="F50" s="4"/>
      <c r="G50" s="47"/>
      <c r="H50" s="47"/>
      <c r="I50" s="47"/>
      <c r="J50" s="47"/>
      <c r="K50" s="47"/>
    </row>
    <row r="51" spans="1:11" ht="38.25" hidden="1" x14ac:dyDescent="0.2">
      <c r="A51" s="128" t="s">
        <v>103</v>
      </c>
      <c r="B51" s="118"/>
      <c r="C51" s="118"/>
      <c r="D51" s="126"/>
      <c r="E51" s="65"/>
      <c r="F51" s="65"/>
      <c r="G51" s="47"/>
      <c r="H51" s="47"/>
      <c r="I51" s="47"/>
      <c r="J51" s="47"/>
      <c r="K51" s="47"/>
    </row>
    <row r="52" spans="1:11" hidden="1" x14ac:dyDescent="0.2">
      <c r="A52" s="123" t="s">
        <v>104</v>
      </c>
      <c r="B52" s="124"/>
      <c r="C52" s="124"/>
      <c r="D52" s="117"/>
      <c r="E52" s="66"/>
      <c r="F52" s="66" t="b">
        <v>1</v>
      </c>
      <c r="G52" s="47"/>
      <c r="H52" s="47"/>
      <c r="I52" s="47"/>
      <c r="J52" s="47"/>
      <c r="K52" s="47"/>
    </row>
    <row r="53" spans="1:11" hidden="1" x14ac:dyDescent="0.2">
      <c r="A53" s="125" t="s">
        <v>105</v>
      </c>
      <c r="B53" s="123"/>
      <c r="C53" s="123"/>
      <c r="D53" s="123"/>
      <c r="E53" s="66"/>
      <c r="F53" s="66" t="b">
        <v>0</v>
      </c>
      <c r="G53" s="47"/>
      <c r="H53" s="47"/>
      <c r="I53" s="47"/>
      <c r="J53" s="47"/>
      <c r="K53" s="47"/>
    </row>
    <row r="54" spans="1:11" hidden="1" x14ac:dyDescent="0.2">
      <c r="A54" s="129"/>
      <c r="B54" s="119">
        <f>COUNT(Travel!B12:B13)</f>
        <v>0</v>
      </c>
      <c r="C54" s="119"/>
      <c r="D54" s="119">
        <f>COUNTIF(Travel!D12:D13,"*")</f>
        <v>0</v>
      </c>
      <c r="E54" s="120"/>
      <c r="F54" s="120" t="b">
        <f>MIN(B54,D54)=MAX(B54,D54)</f>
        <v>1</v>
      </c>
      <c r="G54" s="47"/>
      <c r="H54" s="47"/>
      <c r="I54" s="47"/>
      <c r="J54" s="47"/>
      <c r="K54" s="47"/>
    </row>
    <row r="55" spans="1:11" hidden="1" x14ac:dyDescent="0.2">
      <c r="A55" s="129" t="s">
        <v>106</v>
      </c>
      <c r="B55" s="119">
        <f>COUNT(Travel!B18:B285)</f>
        <v>77</v>
      </c>
      <c r="C55" s="119"/>
      <c r="D55" s="119">
        <f>COUNTIF(Travel!D18:D285,"*")</f>
        <v>77</v>
      </c>
      <c r="E55" s="120"/>
      <c r="F55" s="120" t="b">
        <f>MIN(B55,D55)=MAX(B55,D55)</f>
        <v>1</v>
      </c>
    </row>
    <row r="56" spans="1:11" hidden="1" x14ac:dyDescent="0.2">
      <c r="A56" s="130"/>
      <c r="B56" s="119">
        <f>COUNT(Travel!B290:B291)</f>
        <v>1</v>
      </c>
      <c r="C56" s="119"/>
      <c r="D56" s="119">
        <f>COUNTIF(Travel!D290:D291,"*")</f>
        <v>1</v>
      </c>
      <c r="E56" s="120"/>
      <c r="F56" s="120" t="b">
        <f>MIN(B56,D56)=MAX(B56,D56)</f>
        <v>1</v>
      </c>
    </row>
    <row r="57" spans="1:11" hidden="1" x14ac:dyDescent="0.2">
      <c r="A57" s="131" t="s">
        <v>107</v>
      </c>
      <c r="B57" s="121">
        <f>COUNT(Hospitality!B11:B23)</f>
        <v>8</v>
      </c>
      <c r="C57" s="121"/>
      <c r="D57" s="121">
        <f>COUNTIF(Hospitality!D11:D23,"*")</f>
        <v>8</v>
      </c>
      <c r="E57" s="122"/>
      <c r="F57" s="122" t="b">
        <f>MIN(B57,D57)=MAX(B57,D57)</f>
        <v>1</v>
      </c>
    </row>
    <row r="58" spans="1:11" hidden="1" x14ac:dyDescent="0.2">
      <c r="A58" s="132" t="s">
        <v>108</v>
      </c>
      <c r="B58" s="120">
        <f>COUNT('All other expenses'!B11:B17)</f>
        <v>1</v>
      </c>
      <c r="C58" s="120"/>
      <c r="D58" s="120">
        <f>COUNTIF('All other expenses'!D11:D17,"*")</f>
        <v>1</v>
      </c>
      <c r="E58" s="120"/>
      <c r="F58" s="120" t="b">
        <f>MIN(B58,D58)=MAX(B58,D58)</f>
        <v>1</v>
      </c>
    </row>
    <row r="59" spans="1:11" hidden="1" x14ac:dyDescent="0.2">
      <c r="A59" s="131" t="s">
        <v>109</v>
      </c>
      <c r="B59" s="121">
        <f>COUNTIF('Gifts and benefits'!B11:B25,"*")</f>
        <v>10</v>
      </c>
      <c r="C59" s="121">
        <f>COUNTIF('Gifts and benefits'!C11:C25,"*")</f>
        <v>10</v>
      </c>
      <c r="D59" s="121"/>
      <c r="E59" s="121">
        <f>COUNTA('Gifts and benefits'!E11:E25)</f>
        <v>10</v>
      </c>
      <c r="F59" s="122" t="b">
        <f>MIN(B59,C59,E59)=MAX(B59,C59,E59)</f>
        <v>1</v>
      </c>
    </row>
    <row r="60"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317"/>
  <sheetViews>
    <sheetView topLeftCell="B16" zoomScaleNormal="100" workbookViewId="0">
      <selection activeCell="E23" sqref="E23"/>
    </sheetView>
  </sheetViews>
  <sheetFormatPr defaultColWidth="0" defaultRowHeight="12.75"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82" customWidth="1"/>
    <col min="7" max="9" width="9.140625" style="16" hidden="1" customWidth="1"/>
    <col min="10" max="13" width="0" style="16" hidden="1" customWidth="1"/>
    <col min="14" max="16384" width="9.140625" style="16" hidden="1"/>
  </cols>
  <sheetData>
    <row r="1" spans="1:6" ht="26.25" customHeight="1" x14ac:dyDescent="0.2">
      <c r="A1" s="194" t="s">
        <v>110</v>
      </c>
      <c r="B1" s="194"/>
      <c r="C1" s="194"/>
      <c r="D1" s="194"/>
      <c r="E1" s="194"/>
      <c r="F1" s="170"/>
    </row>
    <row r="2" spans="1:6" ht="21" customHeight="1" x14ac:dyDescent="0.2">
      <c r="A2" s="3" t="s">
        <v>52</v>
      </c>
      <c r="B2" s="197" t="str">
        <f>'Summary and sign-off'!B2:F2</f>
        <v>Sport NZ (Wgtn) &amp; Acting CE HPSNZ (Akld, from 23/4/21)</v>
      </c>
      <c r="C2" s="197"/>
      <c r="D2" s="197"/>
      <c r="E2" s="197"/>
      <c r="F2" s="170"/>
    </row>
    <row r="3" spans="1:6" ht="21" customHeight="1" x14ac:dyDescent="0.2">
      <c r="A3" s="3" t="s">
        <v>111</v>
      </c>
      <c r="B3" s="197" t="str">
        <f>'Summary and sign-off'!B3:F3</f>
        <v>Raelene Castle</v>
      </c>
      <c r="C3" s="197"/>
      <c r="D3" s="197"/>
      <c r="E3" s="197"/>
      <c r="F3" s="170"/>
    </row>
    <row r="4" spans="1:6" ht="21" customHeight="1" x14ac:dyDescent="0.2">
      <c r="A4" s="3" t="s">
        <v>112</v>
      </c>
      <c r="B4" s="197">
        <f>'Summary and sign-off'!B4:F4</f>
        <v>44180</v>
      </c>
      <c r="C4" s="197"/>
      <c r="D4" s="197"/>
      <c r="E4" s="197"/>
      <c r="F4" s="170"/>
    </row>
    <row r="5" spans="1:6" ht="21" customHeight="1" x14ac:dyDescent="0.2">
      <c r="A5" s="3" t="s">
        <v>113</v>
      </c>
      <c r="B5" s="197">
        <f>'Summary and sign-off'!B5:F5</f>
        <v>44377</v>
      </c>
      <c r="C5" s="197"/>
      <c r="D5" s="197"/>
      <c r="E5" s="197"/>
      <c r="F5" s="170"/>
    </row>
    <row r="6" spans="1:6" ht="21" customHeight="1" x14ac:dyDescent="0.2">
      <c r="A6" s="3" t="s">
        <v>114</v>
      </c>
      <c r="B6" s="192" t="s">
        <v>81</v>
      </c>
      <c r="C6" s="192"/>
      <c r="D6" s="192"/>
      <c r="E6" s="192"/>
      <c r="F6" s="170"/>
    </row>
    <row r="7" spans="1:6" ht="21" customHeight="1" x14ac:dyDescent="0.2">
      <c r="A7" s="3" t="s">
        <v>57</v>
      </c>
      <c r="B7" s="192" t="s">
        <v>83</v>
      </c>
      <c r="C7" s="192"/>
      <c r="D7" s="192"/>
      <c r="E7" s="192"/>
      <c r="F7" s="170"/>
    </row>
    <row r="8" spans="1:6" ht="36" customHeight="1" x14ac:dyDescent="0.2">
      <c r="A8" s="200" t="s">
        <v>115</v>
      </c>
      <c r="B8" s="201"/>
      <c r="C8" s="201"/>
      <c r="D8" s="201"/>
      <c r="E8" s="201"/>
      <c r="F8" s="171"/>
    </row>
    <row r="9" spans="1:6" ht="36" customHeight="1" x14ac:dyDescent="0.2">
      <c r="A9" s="202" t="s">
        <v>116</v>
      </c>
      <c r="B9" s="203"/>
      <c r="C9" s="203"/>
      <c r="D9" s="203"/>
      <c r="E9" s="203"/>
      <c r="F9" s="171"/>
    </row>
    <row r="10" spans="1:6" ht="24.75" customHeight="1" x14ac:dyDescent="0.2">
      <c r="A10" s="199" t="s">
        <v>117</v>
      </c>
      <c r="B10" s="204"/>
      <c r="C10" s="199"/>
      <c r="D10" s="199"/>
      <c r="E10" s="199"/>
      <c r="F10" s="172"/>
    </row>
    <row r="11" spans="1:6" ht="27" customHeight="1" x14ac:dyDescent="0.2">
      <c r="A11" s="36" t="s">
        <v>118</v>
      </c>
      <c r="B11" s="36" t="s">
        <v>119</v>
      </c>
      <c r="C11" s="36" t="s">
        <v>120</v>
      </c>
      <c r="D11" s="36" t="s">
        <v>121</v>
      </c>
      <c r="E11" s="36" t="s">
        <v>122</v>
      </c>
      <c r="F11" s="173"/>
    </row>
    <row r="12" spans="1:6" s="148" customFormat="1" x14ac:dyDescent="0.2">
      <c r="A12" s="155" t="s">
        <v>288</v>
      </c>
      <c r="B12" s="146"/>
      <c r="C12" s="141"/>
      <c r="D12" s="141"/>
      <c r="E12" s="142"/>
      <c r="F12" s="174"/>
    </row>
    <row r="13" spans="1:6" s="86" customFormat="1" x14ac:dyDescent="0.2">
      <c r="A13" s="164"/>
      <c r="B13" s="165"/>
      <c r="C13" s="166"/>
      <c r="D13" s="166"/>
      <c r="E13" s="167"/>
      <c r="F13" s="174"/>
    </row>
    <row r="14" spans="1:6" ht="19.5" customHeight="1" x14ac:dyDescent="0.2">
      <c r="A14" s="114" t="s">
        <v>123</v>
      </c>
      <c r="B14" s="115">
        <f>SUM(B12:B13)</f>
        <v>0</v>
      </c>
      <c r="C14" s="169" t="str">
        <f>IF(SUBTOTAL(3,B12:B13)=SUBTOTAL(103,B12:B13),'Summary and sign-off'!$A$47,'Summary and sign-off'!$A$48)</f>
        <v>Check - there are no hidden rows with data</v>
      </c>
      <c r="D14" s="198" t="str">
        <f>IF('Summary and sign-off'!F54='Summary and sign-off'!F53,'Summary and sign-off'!A50,'Summary and sign-off'!A49)</f>
        <v>Check - each entry provides sufficient information</v>
      </c>
      <c r="E14" s="198"/>
      <c r="F14" s="170"/>
    </row>
    <row r="15" spans="1:6" ht="10.5" customHeight="1" x14ac:dyDescent="0.2">
      <c r="A15" s="28"/>
      <c r="B15" s="23"/>
      <c r="C15" s="28"/>
      <c r="D15" s="28"/>
      <c r="E15" s="28"/>
      <c r="F15" s="176"/>
    </row>
    <row r="16" spans="1:6" ht="24.75" customHeight="1" x14ac:dyDescent="0.2">
      <c r="A16" s="199" t="s">
        <v>124</v>
      </c>
      <c r="B16" s="199"/>
      <c r="C16" s="199"/>
      <c r="D16" s="199"/>
      <c r="E16" s="199"/>
      <c r="F16" s="172"/>
    </row>
    <row r="17" spans="1:6" ht="27" customHeight="1" x14ac:dyDescent="0.2">
      <c r="A17" s="36" t="s">
        <v>118</v>
      </c>
      <c r="B17" s="36" t="s">
        <v>62</v>
      </c>
      <c r="C17" s="36" t="s">
        <v>125</v>
      </c>
      <c r="D17" s="36" t="s">
        <v>121</v>
      </c>
      <c r="E17" s="36" t="s">
        <v>122</v>
      </c>
      <c r="F17" s="173"/>
    </row>
    <row r="18" spans="1:6" s="86" customFormat="1" x14ac:dyDescent="0.2">
      <c r="A18" s="151">
        <v>44174</v>
      </c>
      <c r="B18" s="183">
        <v>377.06</v>
      </c>
      <c r="C18" s="141" t="s">
        <v>324</v>
      </c>
      <c r="D18" s="141" t="s">
        <v>139</v>
      </c>
      <c r="E18" s="142" t="s">
        <v>128</v>
      </c>
      <c r="F18" s="177"/>
    </row>
    <row r="19" spans="1:6" s="86" customFormat="1" x14ac:dyDescent="0.2">
      <c r="A19" s="151"/>
      <c r="B19" s="183"/>
      <c r="C19" s="141"/>
      <c r="D19" s="141"/>
      <c r="E19" s="142"/>
      <c r="F19" s="177"/>
    </row>
    <row r="20" spans="1:6" s="86" customFormat="1" x14ac:dyDescent="0.2">
      <c r="A20" s="151" t="s">
        <v>321</v>
      </c>
      <c r="B20" s="183">
        <f>214.35+5+240.17</f>
        <v>459.52</v>
      </c>
      <c r="C20" s="141" t="s">
        <v>129</v>
      </c>
      <c r="D20" s="141" t="s">
        <v>279</v>
      </c>
      <c r="E20" s="142" t="s">
        <v>127</v>
      </c>
      <c r="F20" s="174"/>
    </row>
    <row r="21" spans="1:6" s="86" customFormat="1" x14ac:dyDescent="0.2">
      <c r="A21" s="151" t="s">
        <v>321</v>
      </c>
      <c r="B21" s="183">
        <f>30.11+44.71+6.99+11.46</f>
        <v>93.269999999999982</v>
      </c>
      <c r="C21" s="141" t="s">
        <v>129</v>
      </c>
      <c r="D21" s="141" t="s">
        <v>130</v>
      </c>
      <c r="E21" s="142" t="s">
        <v>127</v>
      </c>
      <c r="F21" s="177"/>
    </row>
    <row r="22" spans="1:6" s="86" customFormat="1" x14ac:dyDescent="0.2">
      <c r="A22" s="151"/>
      <c r="B22" s="183"/>
      <c r="C22" s="141"/>
      <c r="D22" s="141"/>
      <c r="E22" s="142"/>
      <c r="F22" s="177"/>
    </row>
    <row r="23" spans="1:6" s="86" customFormat="1" x14ac:dyDescent="0.2">
      <c r="A23" s="151" t="s">
        <v>296</v>
      </c>
      <c r="B23" s="183">
        <v>313.35000000000002</v>
      </c>
      <c r="C23" s="141" t="s">
        <v>131</v>
      </c>
      <c r="D23" s="141" t="s">
        <v>205</v>
      </c>
      <c r="E23" s="142" t="s">
        <v>127</v>
      </c>
      <c r="F23" s="177"/>
    </row>
    <row r="24" spans="1:6" s="148" customFormat="1" x14ac:dyDescent="0.2">
      <c r="A24" s="151" t="s">
        <v>296</v>
      </c>
      <c r="B24" s="146">
        <f>20.89+49.96+33.16</f>
        <v>104.00999999999999</v>
      </c>
      <c r="C24" s="141" t="s">
        <v>131</v>
      </c>
      <c r="D24" s="141" t="s">
        <v>134</v>
      </c>
      <c r="E24" s="142" t="s">
        <v>127</v>
      </c>
      <c r="F24" s="178"/>
    </row>
    <row r="25" spans="1:6" s="86" customFormat="1" x14ac:dyDescent="0.2">
      <c r="A25" s="151"/>
      <c r="B25" s="146"/>
      <c r="C25" s="141"/>
      <c r="D25" s="141"/>
      <c r="E25" s="142"/>
      <c r="F25" s="178"/>
    </row>
    <row r="26" spans="1:6" s="86" customFormat="1" x14ac:dyDescent="0.2">
      <c r="A26" s="151" t="s">
        <v>322</v>
      </c>
      <c r="B26" s="146">
        <f>(266+205+8.7)</f>
        <v>479.7</v>
      </c>
      <c r="C26" s="141" t="s">
        <v>133</v>
      </c>
      <c r="D26" s="141" t="s">
        <v>280</v>
      </c>
      <c r="E26" s="142" t="s">
        <v>127</v>
      </c>
      <c r="F26" s="178"/>
    </row>
    <row r="27" spans="1:6" s="86" customFormat="1" x14ac:dyDescent="0.2">
      <c r="A27" s="151" t="s">
        <v>323</v>
      </c>
      <c r="B27" s="168">
        <f>45.9+49.88</f>
        <v>95.78</v>
      </c>
      <c r="C27" s="141" t="s">
        <v>133</v>
      </c>
      <c r="D27" s="141" t="s">
        <v>132</v>
      </c>
      <c r="E27" s="142" t="s">
        <v>127</v>
      </c>
      <c r="F27" s="179"/>
    </row>
    <row r="28" spans="1:6" s="86" customFormat="1" x14ac:dyDescent="0.2">
      <c r="A28" s="151"/>
      <c r="B28" s="183"/>
      <c r="C28" s="141"/>
      <c r="D28" s="141"/>
      <c r="E28" s="142"/>
      <c r="F28" s="177"/>
    </row>
    <row r="29" spans="1:6" s="86" customFormat="1" x14ac:dyDescent="0.2">
      <c r="A29" s="151" t="s">
        <v>135</v>
      </c>
      <c r="B29" s="183">
        <f>41.17+103.31+10+10+10-179.91+162.69+179.91</f>
        <v>337.17</v>
      </c>
      <c r="C29" s="141" t="s">
        <v>136</v>
      </c>
      <c r="D29" s="141" t="s">
        <v>139</v>
      </c>
      <c r="E29" s="142" t="s">
        <v>127</v>
      </c>
      <c r="F29" s="177"/>
    </row>
    <row r="30" spans="1:6" s="86" customFormat="1" x14ac:dyDescent="0.2">
      <c r="A30" s="151" t="s">
        <v>297</v>
      </c>
      <c r="B30" s="183">
        <v>39.07</v>
      </c>
      <c r="C30" s="141" t="s">
        <v>136</v>
      </c>
      <c r="D30" s="141" t="s">
        <v>281</v>
      </c>
      <c r="E30" s="142" t="s">
        <v>127</v>
      </c>
      <c r="F30" s="177"/>
    </row>
    <row r="31" spans="1:6" s="86" customFormat="1" x14ac:dyDescent="0.2">
      <c r="A31" s="151"/>
      <c r="B31" s="183"/>
      <c r="C31" s="141"/>
      <c r="D31" s="141"/>
      <c r="E31" s="142"/>
      <c r="F31" s="177"/>
    </row>
    <row r="32" spans="1:6" s="86" customFormat="1" x14ac:dyDescent="0.2">
      <c r="A32" s="151">
        <v>44245</v>
      </c>
      <c r="B32" s="183">
        <v>0</v>
      </c>
      <c r="C32" s="141" t="s">
        <v>298</v>
      </c>
      <c r="D32" s="141" t="s">
        <v>299</v>
      </c>
      <c r="E32" s="142" t="s">
        <v>127</v>
      </c>
      <c r="F32" s="177"/>
    </row>
    <row r="33" spans="1:6" s="86" customFormat="1" x14ac:dyDescent="0.2">
      <c r="A33" s="151"/>
      <c r="B33" s="146"/>
      <c r="C33" s="141"/>
      <c r="D33" s="141"/>
      <c r="E33" s="142"/>
      <c r="F33" s="175"/>
    </row>
    <row r="34" spans="1:6" s="86" customFormat="1" x14ac:dyDescent="0.2">
      <c r="A34" s="151">
        <v>44249</v>
      </c>
      <c r="B34" s="146">
        <f>10+15+179.91+42</f>
        <v>246.91</v>
      </c>
      <c r="C34" s="141" t="s">
        <v>278</v>
      </c>
      <c r="D34" s="141" t="s">
        <v>280</v>
      </c>
      <c r="E34" s="142" t="s">
        <v>127</v>
      </c>
      <c r="F34" s="175"/>
    </row>
    <row r="35" spans="1:6" s="86" customFormat="1" x14ac:dyDescent="0.2">
      <c r="A35" s="151">
        <v>44249</v>
      </c>
      <c r="B35" s="146">
        <f>50.8+30.72</f>
        <v>81.52</v>
      </c>
      <c r="C35" s="141" t="s">
        <v>137</v>
      </c>
      <c r="D35" s="141" t="s">
        <v>132</v>
      </c>
      <c r="E35" s="142" t="s">
        <v>127</v>
      </c>
      <c r="F35" s="175"/>
    </row>
    <row r="36" spans="1:6" s="86" customFormat="1" x14ac:dyDescent="0.2">
      <c r="A36" s="151"/>
      <c r="B36" s="146"/>
      <c r="C36" s="141"/>
      <c r="D36" s="141"/>
      <c r="E36" s="142"/>
    </row>
    <row r="37" spans="1:6" s="86" customFormat="1" ht="22.9" customHeight="1" x14ac:dyDescent="0.2">
      <c r="A37" s="151" t="s">
        <v>286</v>
      </c>
      <c r="B37" s="146">
        <f>24.18+44.78+11.6</f>
        <v>80.56</v>
      </c>
      <c r="C37" s="141" t="s">
        <v>325</v>
      </c>
      <c r="D37" s="141" t="s">
        <v>134</v>
      </c>
      <c r="E37" s="142" t="s">
        <v>128</v>
      </c>
      <c r="F37" s="178"/>
    </row>
    <row r="38" spans="1:6" s="86" customFormat="1" ht="25.5" customHeight="1" x14ac:dyDescent="0.2">
      <c r="A38" s="151" t="s">
        <v>286</v>
      </c>
      <c r="B38" s="146">
        <f>214.35+10</f>
        <v>224.35</v>
      </c>
      <c r="C38" s="141" t="s">
        <v>326</v>
      </c>
      <c r="D38" s="141" t="s">
        <v>280</v>
      </c>
      <c r="E38" s="142" t="s">
        <v>127</v>
      </c>
      <c r="F38" s="174"/>
    </row>
    <row r="39" spans="1:6" s="86" customFormat="1" ht="23.65" customHeight="1" x14ac:dyDescent="0.2">
      <c r="A39" s="151" t="s">
        <v>286</v>
      </c>
      <c r="B39" s="146">
        <f>197.04+5</f>
        <v>202.04</v>
      </c>
      <c r="C39" s="141" t="s">
        <v>329</v>
      </c>
      <c r="D39" s="141" t="s">
        <v>274</v>
      </c>
      <c r="E39" s="142" t="s">
        <v>213</v>
      </c>
      <c r="F39" s="174"/>
    </row>
    <row r="40" spans="1:6" s="161" customFormat="1" ht="22.5" customHeight="1" x14ac:dyDescent="0.2">
      <c r="A40" s="151" t="s">
        <v>286</v>
      </c>
      <c r="B40" s="146">
        <f>51.75+20.94</f>
        <v>72.69</v>
      </c>
      <c r="C40" s="141" t="s">
        <v>327</v>
      </c>
      <c r="D40" s="141" t="s">
        <v>277</v>
      </c>
      <c r="E40" s="142" t="s">
        <v>127</v>
      </c>
      <c r="F40" s="146"/>
    </row>
    <row r="41" spans="1:6" s="86" customFormat="1" x14ac:dyDescent="0.2">
      <c r="A41" s="151" t="s">
        <v>286</v>
      </c>
      <c r="B41" s="146">
        <f>179.91+10+10</f>
        <v>199.91</v>
      </c>
      <c r="C41" s="141" t="s">
        <v>328</v>
      </c>
      <c r="D41" s="141" t="s">
        <v>139</v>
      </c>
      <c r="E41" s="142" t="s">
        <v>127</v>
      </c>
      <c r="F41" s="146"/>
    </row>
    <row r="42" spans="1:6" s="148" customFormat="1" x14ac:dyDescent="0.2">
      <c r="A42" s="151"/>
      <c r="B42" s="146"/>
      <c r="C42" s="141"/>
      <c r="D42" s="141"/>
      <c r="E42" s="142"/>
      <c r="F42" s="146"/>
    </row>
    <row r="43" spans="1:6" s="86" customFormat="1" x14ac:dyDescent="0.2">
      <c r="A43" s="151" t="s">
        <v>330</v>
      </c>
      <c r="B43" s="146">
        <f>102.43+10</f>
        <v>112.43</v>
      </c>
      <c r="C43" s="141" t="s">
        <v>138</v>
      </c>
      <c r="D43" s="141" t="s">
        <v>139</v>
      </c>
      <c r="E43" s="142" t="s">
        <v>127</v>
      </c>
      <c r="F43" s="146"/>
    </row>
    <row r="44" spans="1:6" s="86" customFormat="1" x14ac:dyDescent="0.2">
      <c r="A44" s="151" t="s">
        <v>330</v>
      </c>
      <c r="B44" s="146">
        <f>26.86+49.01+32.61+35.02+6.5</f>
        <v>150</v>
      </c>
      <c r="C44" s="141" t="s">
        <v>140</v>
      </c>
      <c r="D44" s="141" t="s">
        <v>197</v>
      </c>
      <c r="E44" s="142" t="s">
        <v>127</v>
      </c>
      <c r="F44" s="146"/>
    </row>
    <row r="45" spans="1:6" s="86" customFormat="1" x14ac:dyDescent="0.2">
      <c r="A45" s="151"/>
      <c r="B45" s="146"/>
      <c r="C45" s="141"/>
      <c r="D45" s="141"/>
      <c r="E45" s="142"/>
      <c r="F45" s="146"/>
    </row>
    <row r="46" spans="1:6" s="148" customFormat="1" x14ac:dyDescent="0.2">
      <c r="A46" s="151">
        <v>44270</v>
      </c>
      <c r="B46" s="146">
        <v>162.69</v>
      </c>
      <c r="C46" s="141" t="s">
        <v>141</v>
      </c>
      <c r="D46" s="141" t="s">
        <v>139</v>
      </c>
      <c r="E46" s="142" t="s">
        <v>127</v>
      </c>
      <c r="F46" s="146"/>
    </row>
    <row r="47" spans="1:6" s="86" customFormat="1" x14ac:dyDescent="0.2">
      <c r="A47" s="151">
        <v>44270</v>
      </c>
      <c r="B47" s="146">
        <f>72.44</f>
        <v>72.44</v>
      </c>
      <c r="C47" s="141" t="s">
        <v>141</v>
      </c>
      <c r="D47" s="141" t="s">
        <v>142</v>
      </c>
      <c r="E47" s="142" t="s">
        <v>127</v>
      </c>
      <c r="F47" s="146"/>
    </row>
    <row r="48" spans="1:6" s="86" customFormat="1" x14ac:dyDescent="0.2">
      <c r="A48" s="151"/>
      <c r="B48" s="146"/>
      <c r="C48" s="141"/>
      <c r="D48" s="141"/>
      <c r="E48" s="142"/>
      <c r="F48" s="146"/>
    </row>
    <row r="49" spans="1:6" s="148" customFormat="1" x14ac:dyDescent="0.2">
      <c r="A49" s="151">
        <v>44271</v>
      </c>
      <c r="B49" s="146">
        <v>273.74</v>
      </c>
      <c r="C49" s="141" t="s">
        <v>198</v>
      </c>
      <c r="D49" s="141" t="s">
        <v>280</v>
      </c>
      <c r="E49" s="142" t="s">
        <v>199</v>
      </c>
      <c r="F49" s="146"/>
    </row>
    <row r="50" spans="1:6" s="86" customFormat="1" x14ac:dyDescent="0.2">
      <c r="A50" s="151">
        <v>44271</v>
      </c>
      <c r="B50" s="146">
        <f>19.62+37.77</f>
        <v>57.39</v>
      </c>
      <c r="C50" s="141" t="s">
        <v>198</v>
      </c>
      <c r="D50" s="141" t="s">
        <v>142</v>
      </c>
      <c r="E50" s="142" t="s">
        <v>128</v>
      </c>
      <c r="F50" s="146"/>
    </row>
    <row r="51" spans="1:6" s="86" customFormat="1" x14ac:dyDescent="0.2">
      <c r="A51" s="151"/>
      <c r="B51" s="146"/>
      <c r="C51" s="141"/>
      <c r="D51" s="141"/>
      <c r="E51" s="142"/>
      <c r="F51" s="146"/>
    </row>
    <row r="52" spans="1:6" s="148" customFormat="1" ht="25.5" x14ac:dyDescent="0.2">
      <c r="A52" s="151" t="s">
        <v>331</v>
      </c>
      <c r="B52" s="183">
        <f>4+10+10+145.48+222.96+167.87+10+25</f>
        <v>595.30999999999995</v>
      </c>
      <c r="C52" s="141" t="s">
        <v>200</v>
      </c>
      <c r="D52" s="141" t="s">
        <v>280</v>
      </c>
      <c r="E52" s="142" t="s">
        <v>127</v>
      </c>
    </row>
    <row r="53" spans="1:6" s="86" customFormat="1" ht="25.5" x14ac:dyDescent="0.2">
      <c r="A53" s="151" t="s">
        <v>331</v>
      </c>
      <c r="B53" s="183">
        <f>14.23+26.77</f>
        <v>41</v>
      </c>
      <c r="C53" s="141" t="s">
        <v>200</v>
      </c>
      <c r="D53" s="141" t="s">
        <v>202</v>
      </c>
      <c r="E53" s="142" t="s">
        <v>127</v>
      </c>
      <c r="F53" s="148"/>
    </row>
    <row r="54" spans="1:6" s="148" customFormat="1" x14ac:dyDescent="0.2">
      <c r="A54" s="151"/>
      <c r="B54" s="183"/>
      <c r="C54" s="141"/>
      <c r="D54" s="141"/>
      <c r="E54" s="142"/>
    </row>
    <row r="55" spans="1:6" s="86" customFormat="1" ht="13.15" customHeight="1" x14ac:dyDescent="0.2">
      <c r="A55" s="151" t="s">
        <v>332</v>
      </c>
      <c r="B55" s="183">
        <v>218.26</v>
      </c>
      <c r="C55" s="141" t="s">
        <v>313</v>
      </c>
      <c r="D55" s="141" t="s">
        <v>208</v>
      </c>
      <c r="E55" s="142" t="s">
        <v>127</v>
      </c>
      <c r="F55" s="148"/>
    </row>
    <row r="56" spans="1:6" s="86" customFormat="1" ht="25.5" customHeight="1" x14ac:dyDescent="0.2">
      <c r="A56" s="151" t="s">
        <v>333</v>
      </c>
      <c r="B56" s="183">
        <f>179.91+300.43+10+10</f>
        <v>500.34000000000003</v>
      </c>
      <c r="C56" s="141" t="s">
        <v>314</v>
      </c>
      <c r="D56" s="141" t="s">
        <v>312</v>
      </c>
      <c r="E56" s="142" t="s">
        <v>127</v>
      </c>
      <c r="F56" s="148"/>
    </row>
    <row r="57" spans="1:6" s="86" customFormat="1" ht="25.5" x14ac:dyDescent="0.2">
      <c r="A57" s="151" t="s">
        <v>333</v>
      </c>
      <c r="B57" s="183">
        <v>249.27</v>
      </c>
      <c r="C57" s="141" t="s">
        <v>314</v>
      </c>
      <c r="D57" s="141" t="s">
        <v>206</v>
      </c>
      <c r="E57" s="142" t="s">
        <v>207</v>
      </c>
      <c r="F57" s="148"/>
    </row>
    <row r="58" spans="1:6" s="148" customFormat="1" ht="25.5" x14ac:dyDescent="0.2">
      <c r="A58" s="151" t="s">
        <v>333</v>
      </c>
      <c r="B58" s="183">
        <f>46.12+43.83</f>
        <v>89.949999999999989</v>
      </c>
      <c r="C58" s="141" t="s">
        <v>314</v>
      </c>
      <c r="D58" s="141" t="s">
        <v>202</v>
      </c>
      <c r="E58" s="142" t="s">
        <v>128</v>
      </c>
      <c r="F58" s="86"/>
    </row>
    <row r="59" spans="1:6" s="86" customFormat="1" x14ac:dyDescent="0.2">
      <c r="A59" s="151"/>
      <c r="B59" s="183"/>
      <c r="C59" s="141"/>
      <c r="D59" s="141"/>
      <c r="E59" s="142"/>
      <c r="F59" s="148"/>
    </row>
    <row r="60" spans="1:6" s="148" customFormat="1" x14ac:dyDescent="0.2">
      <c r="A60" s="151" t="s">
        <v>334</v>
      </c>
      <c r="B60" s="183">
        <f>334.01+10+10+10+429.57</f>
        <v>793.57999999999993</v>
      </c>
      <c r="C60" s="141" t="s">
        <v>315</v>
      </c>
      <c r="D60" s="141" t="s">
        <v>205</v>
      </c>
      <c r="E60" s="142" t="s">
        <v>317</v>
      </c>
    </row>
    <row r="61" spans="1:6" s="148" customFormat="1" x14ac:dyDescent="0.2">
      <c r="A61" s="151" t="s">
        <v>334</v>
      </c>
      <c r="B61" s="183">
        <f>42.42+5</f>
        <v>47.42</v>
      </c>
      <c r="C61" s="141" t="s">
        <v>315</v>
      </c>
      <c r="D61" s="141" t="s">
        <v>210</v>
      </c>
      <c r="E61" s="142" t="s">
        <v>209</v>
      </c>
    </row>
    <row r="62" spans="1:6" s="148" customFormat="1" x14ac:dyDescent="0.2">
      <c r="A62" s="151" t="s">
        <v>334</v>
      </c>
      <c r="B62" s="183">
        <f>193.04+5</f>
        <v>198.04</v>
      </c>
      <c r="C62" s="141" t="s">
        <v>315</v>
      </c>
      <c r="D62" s="141" t="s">
        <v>254</v>
      </c>
      <c r="E62" s="142" t="s">
        <v>209</v>
      </c>
    </row>
    <row r="63" spans="1:6" s="86" customFormat="1" x14ac:dyDescent="0.2">
      <c r="A63" s="151" t="s">
        <v>334</v>
      </c>
      <c r="B63" s="186">
        <v>36.9</v>
      </c>
      <c r="C63" s="141" t="s">
        <v>315</v>
      </c>
      <c r="D63" s="141" t="s">
        <v>142</v>
      </c>
      <c r="E63" s="142" t="s">
        <v>128</v>
      </c>
      <c r="F63" s="148"/>
    </row>
    <row r="64" spans="1:6" s="86" customFormat="1" ht="13.5" customHeight="1" x14ac:dyDescent="0.2">
      <c r="A64" s="151"/>
      <c r="B64" s="183"/>
      <c r="C64" s="141"/>
      <c r="D64" s="141"/>
      <c r="E64" s="142"/>
      <c r="F64" s="148"/>
    </row>
    <row r="65" spans="1:6" s="86" customFormat="1" x14ac:dyDescent="0.2">
      <c r="A65" s="151">
        <v>44293</v>
      </c>
      <c r="B65" s="183">
        <f>187.65+60.26+10</f>
        <v>257.90999999999997</v>
      </c>
      <c r="C65" s="141" t="s">
        <v>214</v>
      </c>
      <c r="D65" s="141" t="s">
        <v>237</v>
      </c>
      <c r="E65" s="142" t="s">
        <v>213</v>
      </c>
      <c r="F65" s="148"/>
    </row>
    <row r="66" spans="1:6" s="161" customFormat="1" x14ac:dyDescent="0.2">
      <c r="A66" s="151">
        <v>44293</v>
      </c>
      <c r="B66" s="183">
        <f>55.35+22.33</f>
        <v>77.680000000000007</v>
      </c>
      <c r="C66" s="141" t="s">
        <v>214</v>
      </c>
      <c r="D66" s="141" t="s">
        <v>202</v>
      </c>
      <c r="E66" s="142" t="s">
        <v>127</v>
      </c>
      <c r="F66" s="148"/>
    </row>
    <row r="67" spans="1:6" s="161" customFormat="1" x14ac:dyDescent="0.2">
      <c r="A67" s="151"/>
      <c r="B67" s="183"/>
      <c r="C67" s="141"/>
      <c r="D67" s="141"/>
      <c r="E67" s="142"/>
      <c r="F67" s="148"/>
    </row>
    <row r="68" spans="1:6" s="161" customFormat="1" x14ac:dyDescent="0.2">
      <c r="A68" s="151">
        <v>44295</v>
      </c>
      <c r="B68" s="183">
        <v>222.09</v>
      </c>
      <c r="C68" s="141" t="s">
        <v>225</v>
      </c>
      <c r="D68" s="141" t="s">
        <v>237</v>
      </c>
      <c r="E68" s="142" t="s">
        <v>226</v>
      </c>
      <c r="F68" s="148"/>
    </row>
    <row r="69" spans="1:6" s="161" customFormat="1" x14ac:dyDescent="0.2">
      <c r="A69" s="151">
        <v>44295</v>
      </c>
      <c r="B69" s="183">
        <v>56.52</v>
      </c>
      <c r="C69" s="141" t="s">
        <v>225</v>
      </c>
      <c r="D69" s="141" t="s">
        <v>126</v>
      </c>
      <c r="E69" s="142" t="s">
        <v>227</v>
      </c>
      <c r="F69" s="148"/>
    </row>
    <row r="70" spans="1:6" s="161" customFormat="1" x14ac:dyDescent="0.2">
      <c r="A70" s="151"/>
      <c r="B70" s="183"/>
      <c r="C70" s="141"/>
      <c r="D70" s="141"/>
      <c r="E70" s="142"/>
      <c r="F70" s="148"/>
    </row>
    <row r="71" spans="1:6" s="148" customFormat="1" x14ac:dyDescent="0.2">
      <c r="A71" s="151">
        <v>44298</v>
      </c>
      <c r="B71" s="183">
        <f>206.64</f>
        <v>206.64</v>
      </c>
      <c r="C71" s="141" t="s">
        <v>215</v>
      </c>
      <c r="D71" s="141" t="s">
        <v>205</v>
      </c>
      <c r="E71" s="142" t="s">
        <v>128</v>
      </c>
    </row>
    <row r="72" spans="1:6" s="148" customFormat="1" x14ac:dyDescent="0.2">
      <c r="A72" s="151">
        <v>44298</v>
      </c>
      <c r="B72" s="183">
        <f>24.03+31.93+10.87</f>
        <v>66.83</v>
      </c>
      <c r="C72" s="141" t="s">
        <v>215</v>
      </c>
      <c r="D72" s="141" t="s">
        <v>224</v>
      </c>
      <c r="E72" s="142" t="s">
        <v>127</v>
      </c>
    </row>
    <row r="73" spans="1:6" s="86" customFormat="1" x14ac:dyDescent="0.2">
      <c r="A73" s="151"/>
      <c r="B73" s="146"/>
      <c r="C73" s="141"/>
      <c r="D73" s="141"/>
      <c r="E73" s="142"/>
      <c r="F73" s="146"/>
    </row>
    <row r="74" spans="1:6" s="86" customFormat="1" x14ac:dyDescent="0.2">
      <c r="A74" s="151" t="s">
        <v>216</v>
      </c>
      <c r="B74" s="183">
        <f>470.87+10</f>
        <v>480.87</v>
      </c>
      <c r="C74" s="141" t="s">
        <v>217</v>
      </c>
      <c r="D74" s="141" t="s">
        <v>237</v>
      </c>
      <c r="E74" s="142" t="s">
        <v>218</v>
      </c>
      <c r="F74" s="148"/>
    </row>
    <row r="75" spans="1:6" s="86" customFormat="1" x14ac:dyDescent="0.2">
      <c r="A75" s="151" t="s">
        <v>216</v>
      </c>
      <c r="B75" s="146">
        <f>20.85+30.41</f>
        <v>51.260000000000005</v>
      </c>
      <c r="C75" s="141" t="s">
        <v>217</v>
      </c>
      <c r="D75" s="141" t="s">
        <v>228</v>
      </c>
      <c r="E75" s="142" t="s">
        <v>218</v>
      </c>
      <c r="F75" s="146"/>
    </row>
    <row r="76" spans="1:6" s="148" customFormat="1" x14ac:dyDescent="0.2">
      <c r="A76" s="151"/>
      <c r="B76" s="146"/>
      <c r="C76" s="141"/>
      <c r="D76" s="141"/>
      <c r="E76" s="142"/>
      <c r="F76" s="146"/>
    </row>
    <row r="77" spans="1:6" s="86" customFormat="1" x14ac:dyDescent="0.2">
      <c r="A77" s="151" t="s">
        <v>220</v>
      </c>
      <c r="B77" s="146">
        <f>454.52+10</f>
        <v>464.52</v>
      </c>
      <c r="C77" s="141" t="s">
        <v>219</v>
      </c>
      <c r="D77" s="141" t="s">
        <v>237</v>
      </c>
      <c r="E77" s="142" t="s">
        <v>127</v>
      </c>
      <c r="F77" s="146"/>
    </row>
    <row r="78" spans="1:6" s="86" customFormat="1" x14ac:dyDescent="0.2">
      <c r="A78" s="151" t="s">
        <v>220</v>
      </c>
      <c r="B78" s="146">
        <f>44.98+60.96+5.65+28.13+28.18</f>
        <v>167.9</v>
      </c>
      <c r="C78" s="141" t="s">
        <v>219</v>
      </c>
      <c r="D78" s="141" t="s">
        <v>229</v>
      </c>
      <c r="E78" s="142" t="s">
        <v>127</v>
      </c>
      <c r="F78" s="146"/>
    </row>
    <row r="79" spans="1:6" s="86" customFormat="1" x14ac:dyDescent="0.2">
      <c r="A79" s="151"/>
      <c r="B79" s="146"/>
      <c r="C79" s="141"/>
      <c r="D79" s="141"/>
      <c r="E79" s="142"/>
      <c r="F79" s="146"/>
    </row>
    <row r="80" spans="1:6" s="86" customFormat="1" x14ac:dyDescent="0.2">
      <c r="A80" s="151">
        <v>44307</v>
      </c>
      <c r="B80" s="146">
        <f>51.19+22.55</f>
        <v>73.739999999999995</v>
      </c>
      <c r="C80" s="141" t="s">
        <v>230</v>
      </c>
      <c r="D80" s="141" t="s">
        <v>257</v>
      </c>
      <c r="E80" s="142" t="s">
        <v>231</v>
      </c>
      <c r="F80" s="146"/>
    </row>
    <row r="81" spans="1:6" s="86" customFormat="1" x14ac:dyDescent="0.2">
      <c r="A81" s="151"/>
      <c r="B81" s="146"/>
      <c r="C81" s="141"/>
      <c r="D81" s="141"/>
      <c r="E81" s="142"/>
      <c r="F81" s="146"/>
    </row>
    <row r="82" spans="1:6" s="86" customFormat="1" x14ac:dyDescent="0.2">
      <c r="A82" s="151" t="s">
        <v>335</v>
      </c>
      <c r="B82" s="146">
        <f>376.17+10</f>
        <v>386.17</v>
      </c>
      <c r="C82" s="141" t="s">
        <v>221</v>
      </c>
      <c r="D82" s="141" t="s">
        <v>205</v>
      </c>
      <c r="E82" s="142" t="s">
        <v>127</v>
      </c>
      <c r="F82" s="146"/>
    </row>
    <row r="83" spans="1:6" s="148" customFormat="1" x14ac:dyDescent="0.2">
      <c r="A83" s="151"/>
      <c r="B83" s="146"/>
      <c r="C83" s="141"/>
      <c r="D83" s="141"/>
      <c r="E83" s="142"/>
      <c r="F83" s="146"/>
    </row>
    <row r="84" spans="1:6" s="148" customFormat="1" ht="15" customHeight="1" x14ac:dyDescent="0.2">
      <c r="A84" s="151">
        <v>44313</v>
      </c>
      <c r="B84" s="146">
        <v>194.22</v>
      </c>
      <c r="C84" s="141" t="s">
        <v>222</v>
      </c>
      <c r="D84" s="141" t="s">
        <v>205</v>
      </c>
      <c r="E84" s="142" t="s">
        <v>318</v>
      </c>
      <c r="F84" s="146"/>
    </row>
    <row r="85" spans="1:6" s="86" customFormat="1" x14ac:dyDescent="0.2">
      <c r="A85" s="187">
        <v>44313</v>
      </c>
      <c r="B85" s="168">
        <f>6.5+51.41</f>
        <v>57.91</v>
      </c>
      <c r="C85" s="188" t="s">
        <v>222</v>
      </c>
      <c r="D85" s="188" t="s">
        <v>202</v>
      </c>
      <c r="E85" s="188" t="s">
        <v>234</v>
      </c>
      <c r="F85" s="168"/>
    </row>
    <row r="86" spans="1:6" s="86" customFormat="1" x14ac:dyDescent="0.2">
      <c r="A86" s="148"/>
      <c r="B86" s="183"/>
      <c r="C86" s="148"/>
      <c r="D86" s="148"/>
      <c r="E86" s="148"/>
    </row>
    <row r="87" spans="1:6" s="86" customFormat="1" x14ac:dyDescent="0.2">
      <c r="A87" s="189" t="s">
        <v>320</v>
      </c>
      <c r="B87" s="183">
        <f>164.47+172.91</f>
        <v>337.38</v>
      </c>
      <c r="C87" s="148" t="s">
        <v>223</v>
      </c>
      <c r="D87" s="148" t="s">
        <v>205</v>
      </c>
      <c r="E87" s="148" t="s">
        <v>127</v>
      </c>
    </row>
    <row r="88" spans="1:6" s="86" customFormat="1" x14ac:dyDescent="0.2">
      <c r="A88" s="189" t="s">
        <v>320</v>
      </c>
      <c r="B88" s="183">
        <f>51.81+50.91+46.39</f>
        <v>149.11000000000001</v>
      </c>
      <c r="C88" s="148" t="s">
        <v>223</v>
      </c>
      <c r="D88" s="148" t="s">
        <v>319</v>
      </c>
      <c r="E88" s="148" t="s">
        <v>235</v>
      </c>
    </row>
    <row r="89" spans="1:6" s="86" customFormat="1" x14ac:dyDescent="0.2">
      <c r="A89" s="189"/>
      <c r="B89" s="183"/>
      <c r="C89" s="148"/>
      <c r="D89" s="148"/>
      <c r="E89" s="148"/>
    </row>
    <row r="90" spans="1:6" s="86" customFormat="1" x14ac:dyDescent="0.2">
      <c r="A90" s="189" t="s">
        <v>336</v>
      </c>
      <c r="B90" s="183">
        <f>164.47+10+10+172.91-164.47+10</f>
        <v>202.91</v>
      </c>
      <c r="C90" s="148" t="s">
        <v>236</v>
      </c>
      <c r="D90" s="148" t="s">
        <v>237</v>
      </c>
      <c r="E90" s="148" t="s">
        <v>127</v>
      </c>
    </row>
    <row r="91" spans="1:6" s="86" customFormat="1" x14ac:dyDescent="0.2">
      <c r="A91" s="189" t="s">
        <v>336</v>
      </c>
      <c r="B91" s="183">
        <f>15.44+68.05+86.68+22.67</f>
        <v>192.84000000000003</v>
      </c>
      <c r="C91" s="148" t="s">
        <v>236</v>
      </c>
      <c r="D91" s="148" t="s">
        <v>229</v>
      </c>
      <c r="E91" s="148" t="s">
        <v>231</v>
      </c>
    </row>
    <row r="92" spans="1:6" s="86" customFormat="1" x14ac:dyDescent="0.2">
      <c r="A92" s="189"/>
      <c r="B92" s="183"/>
      <c r="C92" s="148"/>
      <c r="D92" s="148"/>
      <c r="E92" s="148"/>
    </row>
    <row r="93" spans="1:6" s="86" customFormat="1" x14ac:dyDescent="0.2">
      <c r="A93" s="189" t="s">
        <v>337</v>
      </c>
      <c r="B93" s="183">
        <f>348.34</f>
        <v>348.34</v>
      </c>
      <c r="C93" s="148" t="s">
        <v>238</v>
      </c>
      <c r="D93" s="148" t="s">
        <v>205</v>
      </c>
      <c r="E93" s="148" t="s">
        <v>239</v>
      </c>
    </row>
    <row r="94" spans="1:6" s="86" customFormat="1" x14ac:dyDescent="0.2">
      <c r="A94" s="189" t="s">
        <v>337</v>
      </c>
      <c r="B94" s="183">
        <f>44.85+85.5</f>
        <v>130.35</v>
      </c>
      <c r="C94" s="148" t="s">
        <v>238</v>
      </c>
      <c r="D94" s="148" t="s">
        <v>243</v>
      </c>
      <c r="E94" s="148" t="s">
        <v>240</v>
      </c>
    </row>
    <row r="95" spans="1:6" s="86" customFormat="1" x14ac:dyDescent="0.2">
      <c r="A95" s="189"/>
      <c r="B95" s="183"/>
      <c r="C95" s="148"/>
      <c r="D95" s="148"/>
      <c r="E95" s="148"/>
    </row>
    <row r="96" spans="1:6" s="86" customFormat="1" x14ac:dyDescent="0.2">
      <c r="A96" s="189" t="s">
        <v>338</v>
      </c>
      <c r="B96" s="183">
        <f>164.47+67.48+10+10+19.4+21.93+10+10+130.73</f>
        <v>444.01</v>
      </c>
      <c r="C96" s="148" t="s">
        <v>266</v>
      </c>
      <c r="D96" s="148" t="s">
        <v>237</v>
      </c>
      <c r="E96" s="148" t="s">
        <v>265</v>
      </c>
    </row>
    <row r="97" spans="1:5" s="86" customFormat="1" x14ac:dyDescent="0.2">
      <c r="A97" s="189" t="s">
        <v>338</v>
      </c>
      <c r="B97" s="183">
        <f>181.74+5</f>
        <v>186.74</v>
      </c>
      <c r="C97" s="148" t="s">
        <v>266</v>
      </c>
      <c r="D97" s="148" t="s">
        <v>254</v>
      </c>
      <c r="E97" s="148" t="s">
        <v>246</v>
      </c>
    </row>
    <row r="98" spans="1:5" s="86" customFormat="1" x14ac:dyDescent="0.2">
      <c r="A98" s="189" t="s">
        <v>338</v>
      </c>
      <c r="B98" s="183">
        <v>107.83</v>
      </c>
      <c r="C98" s="148" t="s">
        <v>266</v>
      </c>
      <c r="D98" s="148" t="s">
        <v>255</v>
      </c>
      <c r="E98" s="148" t="s">
        <v>127</v>
      </c>
    </row>
    <row r="99" spans="1:5" s="86" customFormat="1" x14ac:dyDescent="0.2">
      <c r="A99" s="189" t="s">
        <v>338</v>
      </c>
      <c r="B99" s="183">
        <f>26.3+26.3+39.44+50.36</f>
        <v>142.39999999999998</v>
      </c>
      <c r="C99" s="148" t="s">
        <v>266</v>
      </c>
      <c r="D99" s="148" t="s">
        <v>229</v>
      </c>
      <c r="E99" s="148" t="s">
        <v>127</v>
      </c>
    </row>
    <row r="100" spans="1:5" s="86" customFormat="1" x14ac:dyDescent="0.2">
      <c r="A100" s="189"/>
      <c r="B100" s="183"/>
      <c r="C100" s="148"/>
      <c r="D100" s="148"/>
      <c r="E100" s="148"/>
    </row>
    <row r="101" spans="1:5" s="86" customFormat="1" x14ac:dyDescent="0.2">
      <c r="A101" s="189" t="s">
        <v>267</v>
      </c>
      <c r="B101" s="183">
        <v>247.96</v>
      </c>
      <c r="C101" s="148" t="s">
        <v>241</v>
      </c>
      <c r="D101" s="148" t="s">
        <v>205</v>
      </c>
      <c r="E101" s="148" t="s">
        <v>239</v>
      </c>
    </row>
    <row r="102" spans="1:5" s="86" customFormat="1" x14ac:dyDescent="0.2">
      <c r="A102" s="189" t="s">
        <v>267</v>
      </c>
      <c r="B102" s="183">
        <f>34.12+6.69+46.68+37.81+45.92</f>
        <v>171.22</v>
      </c>
      <c r="C102" s="148" t="s">
        <v>241</v>
      </c>
      <c r="D102" s="148" t="s">
        <v>273</v>
      </c>
      <c r="E102" s="148" t="s">
        <v>239</v>
      </c>
    </row>
    <row r="103" spans="1:5" s="86" customFormat="1" x14ac:dyDescent="0.2">
      <c r="A103" s="189"/>
      <c r="B103" s="183"/>
      <c r="C103" s="148"/>
      <c r="D103" s="148"/>
      <c r="E103" s="148"/>
    </row>
    <row r="104" spans="1:5" s="86" customFormat="1" x14ac:dyDescent="0.2">
      <c r="A104" s="189" t="s">
        <v>339</v>
      </c>
      <c r="B104" s="183">
        <v>0</v>
      </c>
      <c r="C104" s="157" t="s">
        <v>307</v>
      </c>
      <c r="D104" s="148" t="s">
        <v>205</v>
      </c>
      <c r="E104" s="148" t="s">
        <v>305</v>
      </c>
    </row>
    <row r="105" spans="1:5" s="86" customFormat="1" x14ac:dyDescent="0.2">
      <c r="A105" s="189" t="s">
        <v>339</v>
      </c>
      <c r="B105" s="183">
        <v>0</v>
      </c>
      <c r="C105" s="157" t="s">
        <v>307</v>
      </c>
      <c r="D105" s="148" t="s">
        <v>306</v>
      </c>
      <c r="E105" s="148" t="s">
        <v>246</v>
      </c>
    </row>
    <row r="106" spans="1:5" s="86" customFormat="1" x14ac:dyDescent="0.2">
      <c r="A106" s="189" t="s">
        <v>339</v>
      </c>
      <c r="B106" s="183">
        <v>41.84</v>
      </c>
      <c r="C106" s="148" t="s">
        <v>308</v>
      </c>
      <c r="D106" s="148" t="s">
        <v>268</v>
      </c>
      <c r="E106" s="148" t="s">
        <v>246</v>
      </c>
    </row>
    <row r="107" spans="1:5" s="86" customFormat="1" x14ac:dyDescent="0.2">
      <c r="A107" s="189" t="s">
        <v>302</v>
      </c>
      <c r="B107" s="183">
        <v>466.96</v>
      </c>
      <c r="C107" s="148" t="s">
        <v>308</v>
      </c>
      <c r="D107" s="148" t="s">
        <v>309</v>
      </c>
      <c r="E107" s="148" t="s">
        <v>246</v>
      </c>
    </row>
    <row r="108" spans="1:5" s="86" customFormat="1" x14ac:dyDescent="0.2">
      <c r="A108" s="189" t="s">
        <v>304</v>
      </c>
      <c r="B108" s="183">
        <v>43.92</v>
      </c>
      <c r="C108" s="148" t="s">
        <v>308</v>
      </c>
      <c r="D108" s="148" t="s">
        <v>303</v>
      </c>
      <c r="E108" s="148" t="s">
        <v>246</v>
      </c>
    </row>
    <row r="109" spans="1:5" s="86" customFormat="1" x14ac:dyDescent="0.2">
      <c r="A109" s="189"/>
      <c r="B109" s="183"/>
      <c r="C109" s="148"/>
      <c r="D109" s="148"/>
      <c r="E109" s="148"/>
    </row>
    <row r="110" spans="1:5" s="86" customFormat="1" x14ac:dyDescent="0.2">
      <c r="A110" s="189">
        <v>44360</v>
      </c>
      <c r="B110" s="183">
        <v>130.36000000000001</v>
      </c>
      <c r="C110" s="148" t="s">
        <v>247</v>
      </c>
      <c r="D110" s="148" t="s">
        <v>237</v>
      </c>
      <c r="E110" s="148" t="s">
        <v>242</v>
      </c>
    </row>
    <row r="111" spans="1:5" s="86" customFormat="1" x14ac:dyDescent="0.2">
      <c r="A111" s="189">
        <v>44360</v>
      </c>
      <c r="B111" s="183">
        <f>(50.49 + 32.21)</f>
        <v>82.7</v>
      </c>
      <c r="C111" s="148" t="s">
        <v>247</v>
      </c>
      <c r="D111" s="148" t="s">
        <v>202</v>
      </c>
      <c r="E111" s="148" t="s">
        <v>128</v>
      </c>
    </row>
    <row r="112" spans="1:5" s="86" customFormat="1" x14ac:dyDescent="0.2">
      <c r="A112" s="189"/>
      <c r="B112" s="183"/>
      <c r="C112" s="148"/>
      <c r="D112" s="148"/>
      <c r="E112" s="148"/>
    </row>
    <row r="113" spans="1:6" s="86" customFormat="1" x14ac:dyDescent="0.2">
      <c r="A113" s="189" t="s">
        <v>340</v>
      </c>
      <c r="B113" s="183">
        <v>0</v>
      </c>
      <c r="C113" s="157" t="s">
        <v>310</v>
      </c>
      <c r="D113" s="148" t="s">
        <v>205</v>
      </c>
      <c r="E113" s="148" t="s">
        <v>249</v>
      </c>
    </row>
    <row r="114" spans="1:6" s="86" customFormat="1" x14ac:dyDescent="0.2">
      <c r="A114" s="189" t="s">
        <v>340</v>
      </c>
      <c r="B114" s="183">
        <v>0</v>
      </c>
      <c r="C114" s="157" t="s">
        <v>310</v>
      </c>
      <c r="D114" s="148" t="s">
        <v>311</v>
      </c>
      <c r="E114" s="148" t="s">
        <v>249</v>
      </c>
    </row>
    <row r="115" spans="1:6" s="86" customFormat="1" x14ac:dyDescent="0.2">
      <c r="A115" s="189" t="s">
        <v>340</v>
      </c>
      <c r="B115" s="183">
        <f>(51.5+36.47)</f>
        <v>87.97</v>
      </c>
      <c r="C115" s="148" t="s">
        <v>250</v>
      </c>
      <c r="D115" s="148" t="s">
        <v>202</v>
      </c>
      <c r="E115" s="148" t="s">
        <v>231</v>
      </c>
    </row>
    <row r="116" spans="1:6" s="86" customFormat="1" x14ac:dyDescent="0.2">
      <c r="A116" s="189" t="s">
        <v>340</v>
      </c>
      <c r="B116" s="183">
        <v>90</v>
      </c>
      <c r="C116" s="148" t="s">
        <v>250</v>
      </c>
      <c r="D116" s="148" t="s">
        <v>248</v>
      </c>
      <c r="E116" s="148" t="s">
        <v>249</v>
      </c>
    </row>
    <row r="117" spans="1:6" s="86" customFormat="1" ht="14.25" customHeight="1" x14ac:dyDescent="0.2">
      <c r="A117" s="151"/>
      <c r="B117" s="146"/>
      <c r="C117" s="141"/>
      <c r="D117" s="141"/>
      <c r="E117" s="142"/>
      <c r="F117" s="146"/>
    </row>
    <row r="118" spans="1:6" s="86" customFormat="1" ht="15" customHeight="1" x14ac:dyDescent="0.2">
      <c r="A118" s="151">
        <v>44369</v>
      </c>
      <c r="B118" s="146">
        <v>178.94</v>
      </c>
      <c r="C118" s="141" t="s">
        <v>259</v>
      </c>
      <c r="D118" s="141" t="s">
        <v>237</v>
      </c>
      <c r="E118" s="142" t="s">
        <v>244</v>
      </c>
      <c r="F118" s="146"/>
    </row>
    <row r="119" spans="1:6" s="86" customFormat="1" ht="15" customHeight="1" x14ac:dyDescent="0.2">
      <c r="A119" s="151">
        <v>44369</v>
      </c>
      <c r="B119" s="146">
        <f>29.58+61.04</f>
        <v>90.62</v>
      </c>
      <c r="C119" s="141" t="s">
        <v>259</v>
      </c>
      <c r="D119" s="141" t="s">
        <v>275</v>
      </c>
      <c r="E119" s="142" t="s">
        <v>244</v>
      </c>
      <c r="F119" s="146"/>
    </row>
    <row r="120" spans="1:6" s="86" customFormat="1" ht="15" customHeight="1" x14ac:dyDescent="0.2">
      <c r="A120" s="151"/>
      <c r="B120" s="146"/>
      <c r="C120" s="141"/>
      <c r="D120" s="141"/>
      <c r="E120" s="142"/>
      <c r="F120" s="146"/>
    </row>
    <row r="121" spans="1:6" s="86" customFormat="1" ht="15" customHeight="1" x14ac:dyDescent="0.2">
      <c r="A121" s="151">
        <v>44370</v>
      </c>
      <c r="B121" s="146">
        <v>334</v>
      </c>
      <c r="C121" s="141" t="s">
        <v>258</v>
      </c>
      <c r="D121" s="141" t="s">
        <v>205</v>
      </c>
      <c r="E121" s="142" t="s">
        <v>127</v>
      </c>
      <c r="F121" s="146"/>
    </row>
    <row r="122" spans="1:6" s="86" customFormat="1" ht="15" customHeight="1" x14ac:dyDescent="0.2">
      <c r="A122" s="151">
        <v>44370</v>
      </c>
      <c r="B122" s="146">
        <f>(54.14+14.93)</f>
        <v>69.069999999999993</v>
      </c>
      <c r="C122" s="141" t="s">
        <v>258</v>
      </c>
      <c r="D122" s="141" t="s">
        <v>276</v>
      </c>
      <c r="E122" s="142" t="s">
        <v>127</v>
      </c>
      <c r="F122" s="146"/>
    </row>
    <row r="123" spans="1:6" s="86" customFormat="1" ht="13.5" customHeight="1" x14ac:dyDescent="0.2">
      <c r="A123" s="151"/>
      <c r="B123" s="146"/>
      <c r="C123" s="141"/>
      <c r="D123" s="141"/>
      <c r="E123" s="142"/>
      <c r="F123" s="146"/>
    </row>
    <row r="124" spans="1:6" s="86" customFormat="1" ht="12" customHeight="1" x14ac:dyDescent="0.2">
      <c r="A124" s="151">
        <v>44373</v>
      </c>
      <c r="B124" s="146">
        <v>507.76</v>
      </c>
      <c r="C124" s="141" t="s">
        <v>260</v>
      </c>
      <c r="D124" s="141" t="s">
        <v>237</v>
      </c>
      <c r="E124" s="142" t="s">
        <v>246</v>
      </c>
      <c r="F124" s="146"/>
    </row>
    <row r="125" spans="1:6" s="148" customFormat="1" x14ac:dyDescent="0.2">
      <c r="A125" s="151">
        <v>44373</v>
      </c>
      <c r="B125" s="146">
        <v>44.66</v>
      </c>
      <c r="C125" s="141" t="s">
        <v>260</v>
      </c>
      <c r="D125" s="141" t="s">
        <v>142</v>
      </c>
      <c r="E125" s="142" t="s">
        <v>127</v>
      </c>
      <c r="F125" s="146"/>
    </row>
    <row r="126" spans="1:6" s="86" customFormat="1" hidden="1" x14ac:dyDescent="0.2">
      <c r="A126" s="151"/>
      <c r="B126" s="146"/>
      <c r="C126" s="141"/>
      <c r="D126" s="141"/>
      <c r="E126" s="142"/>
      <c r="F126" s="174"/>
    </row>
    <row r="127" spans="1:6" s="86" customFormat="1" hidden="1" x14ac:dyDescent="0.2">
      <c r="A127" s="151"/>
      <c r="B127" s="146"/>
      <c r="C127" s="141"/>
      <c r="D127" s="141"/>
      <c r="E127" s="142"/>
      <c r="F127" s="174"/>
    </row>
    <row r="128" spans="1:6" s="86" customFormat="1" hidden="1" x14ac:dyDescent="0.2">
      <c r="A128" s="151"/>
      <c r="B128" s="146"/>
      <c r="C128" s="141"/>
      <c r="D128" s="141"/>
      <c r="E128" s="142"/>
      <c r="F128" s="175"/>
    </row>
    <row r="129" spans="1:6" s="148" customFormat="1" hidden="1" x14ac:dyDescent="0.2">
      <c r="A129" s="151"/>
      <c r="B129" s="146"/>
      <c r="C129" s="141"/>
      <c r="D129" s="141"/>
      <c r="E129" s="142"/>
      <c r="F129" s="175"/>
    </row>
    <row r="130" spans="1:6" s="86" customFormat="1" hidden="1" x14ac:dyDescent="0.2">
      <c r="A130" s="151"/>
      <c r="B130" s="146"/>
      <c r="C130" s="141"/>
      <c r="D130" s="141"/>
      <c r="E130" s="142"/>
      <c r="F130" s="174"/>
    </row>
    <row r="131" spans="1:6" s="86" customFormat="1" hidden="1" x14ac:dyDescent="0.2">
      <c r="A131" s="151"/>
      <c r="B131" s="146"/>
      <c r="C131" s="141"/>
      <c r="D131" s="141"/>
      <c r="E131" s="142"/>
      <c r="F131" s="175"/>
    </row>
    <row r="132" spans="1:6" s="86" customFormat="1" hidden="1" x14ac:dyDescent="0.2">
      <c r="A132" s="151"/>
      <c r="B132" s="146"/>
      <c r="C132" s="141"/>
      <c r="D132" s="141"/>
      <c r="E132" s="142"/>
      <c r="F132" s="174"/>
    </row>
    <row r="133" spans="1:6" s="86" customFormat="1" hidden="1" x14ac:dyDescent="0.2">
      <c r="A133" s="151"/>
      <c r="B133" s="146"/>
      <c r="C133" s="141"/>
      <c r="D133" s="141"/>
      <c r="E133" s="142"/>
      <c r="F133" s="174"/>
    </row>
    <row r="134" spans="1:6" s="148" customFormat="1" hidden="1" x14ac:dyDescent="0.2">
      <c r="A134" s="151"/>
      <c r="B134" s="146"/>
      <c r="C134" s="141"/>
      <c r="D134" s="141"/>
      <c r="E134" s="142"/>
      <c r="F134" s="175"/>
    </row>
    <row r="135" spans="1:6" s="86" customFormat="1" hidden="1" x14ac:dyDescent="0.2">
      <c r="A135" s="151"/>
      <c r="B135" s="146"/>
      <c r="C135" s="141"/>
      <c r="D135" s="141"/>
      <c r="E135" s="142"/>
      <c r="F135" s="175"/>
    </row>
    <row r="136" spans="1:6" s="86" customFormat="1" hidden="1" x14ac:dyDescent="0.2">
      <c r="A136" s="151"/>
      <c r="B136" s="146"/>
      <c r="C136" s="141"/>
      <c r="D136" s="141"/>
      <c r="E136" s="142"/>
      <c r="F136" s="174"/>
    </row>
    <row r="137" spans="1:6" s="86" customFormat="1" hidden="1" x14ac:dyDescent="0.2">
      <c r="A137" s="151"/>
      <c r="B137" s="146"/>
      <c r="C137" s="141"/>
      <c r="D137" s="141"/>
      <c r="E137" s="142"/>
      <c r="F137" s="174"/>
    </row>
    <row r="138" spans="1:6" s="86" customFormat="1" hidden="1" x14ac:dyDescent="0.2">
      <c r="A138" s="151"/>
      <c r="B138" s="146"/>
      <c r="C138" s="141"/>
      <c r="D138" s="141"/>
      <c r="E138" s="142"/>
      <c r="F138" s="174"/>
    </row>
    <row r="139" spans="1:6" s="86" customFormat="1" hidden="1" x14ac:dyDescent="0.2">
      <c r="A139" s="151"/>
      <c r="B139" s="146"/>
      <c r="C139" s="141"/>
      <c r="D139" s="141"/>
      <c r="E139" s="142"/>
      <c r="F139" s="174"/>
    </row>
    <row r="140" spans="1:6" s="148" customFormat="1" hidden="1" x14ac:dyDescent="0.2">
      <c r="A140" s="151"/>
      <c r="B140" s="146"/>
      <c r="C140" s="141"/>
      <c r="D140" s="141"/>
      <c r="E140" s="142"/>
      <c r="F140" s="175"/>
    </row>
    <row r="141" spans="1:6" s="161" customFormat="1" hidden="1" x14ac:dyDescent="0.2">
      <c r="A141" s="151"/>
      <c r="B141" s="146"/>
      <c r="C141" s="141"/>
      <c r="D141" s="141"/>
      <c r="E141" s="142"/>
      <c r="F141" s="175"/>
    </row>
    <row r="142" spans="1:6" s="161" customFormat="1" hidden="1" x14ac:dyDescent="0.2">
      <c r="A142" s="151"/>
      <c r="B142" s="146"/>
      <c r="C142" s="141"/>
      <c r="D142" s="141"/>
      <c r="E142" s="142"/>
      <c r="F142" s="175"/>
    </row>
    <row r="143" spans="1:6" s="148" customFormat="1" hidden="1" x14ac:dyDescent="0.2">
      <c r="A143" s="151"/>
      <c r="B143" s="146"/>
      <c r="C143" s="141"/>
      <c r="D143" s="141"/>
      <c r="E143" s="142"/>
      <c r="F143" s="175"/>
    </row>
    <row r="144" spans="1:6" s="86" customFormat="1" ht="23.25" hidden="1" customHeight="1" x14ac:dyDescent="0.2">
      <c r="A144" s="151"/>
      <c r="B144" s="146"/>
      <c r="C144" s="141"/>
      <c r="D144" s="141"/>
      <c r="E144" s="142"/>
      <c r="F144" s="174"/>
    </row>
    <row r="145" spans="1:6" s="86" customFormat="1" hidden="1" x14ac:dyDescent="0.2">
      <c r="A145" s="151"/>
      <c r="B145" s="146"/>
      <c r="C145" s="141"/>
      <c r="D145" s="141"/>
      <c r="E145" s="142"/>
      <c r="F145" s="174"/>
    </row>
    <row r="146" spans="1:6" s="86" customFormat="1" ht="22.5" hidden="1" customHeight="1" x14ac:dyDescent="0.2">
      <c r="A146" s="151"/>
      <c r="B146" s="146"/>
      <c r="C146" s="141"/>
      <c r="D146" s="141"/>
      <c r="E146" s="142"/>
      <c r="F146" s="174"/>
    </row>
    <row r="147" spans="1:6" s="86" customFormat="1" hidden="1" x14ac:dyDescent="0.2">
      <c r="A147" s="151"/>
      <c r="B147" s="146"/>
      <c r="C147" s="141"/>
      <c r="D147" s="141"/>
      <c r="E147" s="142"/>
      <c r="F147" s="174"/>
    </row>
    <row r="148" spans="1:6" s="86" customFormat="1" hidden="1" x14ac:dyDescent="0.2">
      <c r="A148" s="151"/>
      <c r="B148" s="146"/>
      <c r="C148" s="141"/>
      <c r="D148" s="141"/>
      <c r="E148" s="142"/>
      <c r="F148" s="174"/>
    </row>
    <row r="149" spans="1:6" s="86" customFormat="1" hidden="1" x14ac:dyDescent="0.2">
      <c r="A149" s="151"/>
      <c r="B149" s="146"/>
      <c r="C149" s="141"/>
      <c r="D149" s="141"/>
      <c r="E149" s="142"/>
      <c r="F149" s="174"/>
    </row>
    <row r="150" spans="1:6" s="86" customFormat="1" hidden="1" x14ac:dyDescent="0.2">
      <c r="A150" s="151"/>
      <c r="B150" s="146"/>
      <c r="C150" s="141"/>
      <c r="D150" s="141"/>
      <c r="E150" s="142"/>
      <c r="F150" s="174"/>
    </row>
    <row r="151" spans="1:6" s="148" customFormat="1" hidden="1" x14ac:dyDescent="0.2">
      <c r="A151" s="151"/>
      <c r="B151" s="146"/>
      <c r="C151" s="141"/>
      <c r="D151" s="141"/>
      <c r="E151" s="142"/>
      <c r="F151" s="175"/>
    </row>
    <row r="152" spans="1:6" s="86" customFormat="1" hidden="1" x14ac:dyDescent="0.2">
      <c r="A152" s="151"/>
      <c r="B152" s="146"/>
      <c r="C152" s="141"/>
      <c r="D152" s="141"/>
      <c r="E152" s="142"/>
      <c r="F152" s="174"/>
    </row>
    <row r="153" spans="1:6" s="148" customFormat="1" hidden="1" x14ac:dyDescent="0.2">
      <c r="A153" s="151"/>
      <c r="B153" s="146"/>
      <c r="C153" s="141"/>
      <c r="D153" s="141"/>
      <c r="E153" s="142"/>
      <c r="F153" s="175"/>
    </row>
    <row r="154" spans="1:6" s="86" customFormat="1" hidden="1" x14ac:dyDescent="0.2">
      <c r="A154" s="151"/>
      <c r="B154" s="146"/>
      <c r="C154" s="141"/>
      <c r="D154" s="141"/>
      <c r="E154" s="142"/>
      <c r="F154" s="174"/>
    </row>
    <row r="155" spans="1:6" s="86" customFormat="1" hidden="1" x14ac:dyDescent="0.2">
      <c r="A155" s="151"/>
      <c r="B155" s="146"/>
      <c r="C155" s="141"/>
      <c r="D155" s="141"/>
      <c r="E155" s="142"/>
      <c r="F155" s="174"/>
    </row>
    <row r="156" spans="1:6" s="86" customFormat="1" hidden="1" x14ac:dyDescent="0.2">
      <c r="A156" s="151"/>
      <c r="B156" s="146"/>
      <c r="C156" s="141"/>
      <c r="D156" s="141"/>
      <c r="E156" s="142"/>
      <c r="F156" s="174"/>
    </row>
    <row r="157" spans="1:6" s="86" customFormat="1" hidden="1" x14ac:dyDescent="0.2">
      <c r="A157" s="151"/>
      <c r="B157" s="146"/>
      <c r="C157" s="141"/>
      <c r="D157" s="141"/>
      <c r="E157" s="142"/>
      <c r="F157" s="174"/>
    </row>
    <row r="158" spans="1:6" s="86" customFormat="1" hidden="1" x14ac:dyDescent="0.2">
      <c r="A158" s="151"/>
      <c r="B158" s="146"/>
      <c r="C158" s="141"/>
      <c r="D158" s="141"/>
      <c r="E158" s="142"/>
      <c r="F158" s="174"/>
    </row>
    <row r="159" spans="1:6" s="148" customFormat="1" hidden="1" x14ac:dyDescent="0.2">
      <c r="A159" s="151"/>
      <c r="B159" s="146"/>
      <c r="C159" s="141"/>
      <c r="D159" s="141"/>
      <c r="E159" s="142"/>
      <c r="F159" s="175"/>
    </row>
    <row r="160" spans="1:6" s="86" customFormat="1" hidden="1" x14ac:dyDescent="0.2">
      <c r="A160" s="151"/>
      <c r="B160" s="146"/>
      <c r="C160" s="141"/>
      <c r="D160" s="141"/>
      <c r="E160" s="142"/>
      <c r="F160" s="174"/>
    </row>
    <row r="161" spans="1:6" s="86" customFormat="1" hidden="1" x14ac:dyDescent="0.2">
      <c r="A161" s="151"/>
      <c r="B161" s="146"/>
      <c r="C161" s="141"/>
      <c r="D161" s="141"/>
      <c r="E161" s="142"/>
      <c r="F161" s="174"/>
    </row>
    <row r="162" spans="1:6" s="86" customFormat="1" hidden="1" x14ac:dyDescent="0.2">
      <c r="A162" s="151"/>
      <c r="B162" s="146"/>
      <c r="C162" s="141"/>
      <c r="D162" s="141"/>
      <c r="E162" s="142"/>
      <c r="F162" s="175"/>
    </row>
    <row r="163" spans="1:6" s="148" customFormat="1" hidden="1" x14ac:dyDescent="0.2">
      <c r="A163" s="151"/>
      <c r="B163" s="146"/>
      <c r="C163" s="141"/>
      <c r="D163" s="141"/>
      <c r="E163" s="142"/>
      <c r="F163" s="175"/>
    </row>
    <row r="164" spans="1:6" s="86" customFormat="1" hidden="1" x14ac:dyDescent="0.2">
      <c r="A164" s="151"/>
      <c r="B164" s="146"/>
      <c r="C164" s="141"/>
      <c r="D164" s="141"/>
      <c r="E164" s="142"/>
      <c r="F164" s="174"/>
    </row>
    <row r="165" spans="1:6" s="86" customFormat="1" hidden="1" x14ac:dyDescent="0.2">
      <c r="A165" s="151"/>
      <c r="B165" s="146"/>
      <c r="C165" s="141"/>
      <c r="D165" s="141"/>
      <c r="E165" s="142"/>
      <c r="F165" s="174"/>
    </row>
    <row r="166" spans="1:6" s="86" customFormat="1" hidden="1" x14ac:dyDescent="0.2">
      <c r="A166" s="151"/>
      <c r="B166" s="146"/>
      <c r="C166" s="141"/>
      <c r="D166" s="141"/>
      <c r="E166" s="142"/>
      <c r="F166" s="175"/>
    </row>
    <row r="167" spans="1:6" s="148" customFormat="1" hidden="1" x14ac:dyDescent="0.2">
      <c r="A167" s="151"/>
      <c r="B167" s="146"/>
      <c r="C167" s="141"/>
      <c r="D167" s="141"/>
      <c r="E167" s="142"/>
      <c r="F167" s="175"/>
    </row>
    <row r="168" spans="1:6" s="86" customFormat="1" hidden="1" x14ac:dyDescent="0.2">
      <c r="A168" s="151"/>
      <c r="B168" s="146"/>
      <c r="C168" s="141"/>
      <c r="D168" s="141"/>
      <c r="E168" s="142"/>
      <c r="F168" s="174"/>
    </row>
    <row r="169" spans="1:6" s="86" customFormat="1" hidden="1" x14ac:dyDescent="0.2">
      <c r="A169" s="151"/>
      <c r="B169" s="146"/>
      <c r="C169" s="141"/>
      <c r="D169" s="141"/>
      <c r="E169" s="142"/>
      <c r="F169" s="174"/>
    </row>
    <row r="170" spans="1:6" s="86" customFormat="1" hidden="1" x14ac:dyDescent="0.2">
      <c r="A170" s="151"/>
      <c r="B170" s="146"/>
      <c r="C170" s="141"/>
      <c r="D170" s="141"/>
      <c r="E170" s="142"/>
      <c r="F170" s="174"/>
    </row>
    <row r="171" spans="1:6" s="148" customFormat="1" hidden="1" x14ac:dyDescent="0.2">
      <c r="A171" s="151"/>
      <c r="B171" s="146"/>
      <c r="C171" s="141"/>
      <c r="D171" s="141"/>
      <c r="E171" s="142"/>
      <c r="F171" s="175"/>
    </row>
    <row r="172" spans="1:6" s="86" customFormat="1" hidden="1" x14ac:dyDescent="0.2">
      <c r="A172" s="151"/>
      <c r="B172" s="146"/>
      <c r="C172" s="141"/>
      <c r="D172" s="141"/>
      <c r="E172" s="142"/>
      <c r="F172" s="174"/>
    </row>
    <row r="173" spans="1:6" s="86" customFormat="1" hidden="1" x14ac:dyDescent="0.2">
      <c r="A173" s="151"/>
      <c r="B173" s="146"/>
      <c r="C173" s="141"/>
      <c r="D173" s="141"/>
      <c r="E173" s="142"/>
      <c r="F173" s="174"/>
    </row>
    <row r="174" spans="1:6" s="86" customFormat="1" hidden="1" x14ac:dyDescent="0.2">
      <c r="A174" s="151"/>
      <c r="B174" s="146"/>
      <c r="C174" s="141"/>
      <c r="D174" s="141"/>
      <c r="E174" s="142"/>
      <c r="F174" s="174"/>
    </row>
    <row r="175" spans="1:6" s="86" customFormat="1" hidden="1" x14ac:dyDescent="0.2">
      <c r="A175" s="151"/>
      <c r="B175" s="146"/>
      <c r="C175" s="141"/>
      <c r="D175" s="141"/>
      <c r="E175" s="142"/>
      <c r="F175" s="174"/>
    </row>
    <row r="176" spans="1:6" s="148" customFormat="1" hidden="1" x14ac:dyDescent="0.2">
      <c r="A176" s="151"/>
      <c r="B176" s="146"/>
      <c r="C176" s="141"/>
      <c r="D176" s="141"/>
      <c r="E176" s="142"/>
      <c r="F176" s="175"/>
    </row>
    <row r="177" spans="1:6" s="148" customFormat="1" ht="15" hidden="1" customHeight="1" x14ac:dyDescent="0.2">
      <c r="A177" s="151"/>
      <c r="B177" s="146"/>
      <c r="C177" s="141"/>
      <c r="D177" s="141"/>
      <c r="E177" s="142"/>
      <c r="F177" s="175"/>
    </row>
    <row r="178" spans="1:6" s="148" customFormat="1" hidden="1" x14ac:dyDescent="0.2">
      <c r="A178" s="151"/>
      <c r="B178" s="146"/>
      <c r="C178" s="141"/>
      <c r="D178" s="141"/>
      <c r="E178" s="142"/>
      <c r="F178" s="175"/>
    </row>
    <row r="179" spans="1:6" s="86" customFormat="1" hidden="1" x14ac:dyDescent="0.2">
      <c r="A179" s="151"/>
      <c r="B179" s="146"/>
      <c r="C179" s="141"/>
      <c r="D179" s="141"/>
      <c r="E179" s="142"/>
      <c r="F179" s="174"/>
    </row>
    <row r="180" spans="1:6" s="86" customFormat="1" hidden="1" x14ac:dyDescent="0.2">
      <c r="A180" s="151"/>
      <c r="B180" s="146"/>
      <c r="C180" s="141"/>
      <c r="D180" s="141"/>
      <c r="E180" s="142"/>
      <c r="F180" s="174"/>
    </row>
    <row r="181" spans="1:6" s="86" customFormat="1" hidden="1" x14ac:dyDescent="0.2">
      <c r="A181" s="151"/>
      <c r="B181" s="146"/>
      <c r="C181" s="141"/>
      <c r="D181" s="141"/>
      <c r="E181" s="142"/>
      <c r="F181" s="174"/>
    </row>
    <row r="182" spans="1:6" s="86" customFormat="1" hidden="1" x14ac:dyDescent="0.2">
      <c r="A182" s="151"/>
      <c r="B182" s="146"/>
      <c r="C182" s="141"/>
      <c r="D182" s="141"/>
      <c r="E182" s="142"/>
      <c r="F182" s="174"/>
    </row>
    <row r="183" spans="1:6" s="86" customFormat="1" hidden="1" x14ac:dyDescent="0.2">
      <c r="A183" s="151"/>
      <c r="B183" s="146"/>
      <c r="C183" s="141"/>
      <c r="D183" s="141"/>
      <c r="E183" s="142"/>
      <c r="F183" s="174"/>
    </row>
    <row r="184" spans="1:6" s="86" customFormat="1" hidden="1" x14ac:dyDescent="0.2">
      <c r="A184" s="151"/>
      <c r="B184" s="146"/>
      <c r="C184" s="141"/>
      <c r="D184" s="141"/>
      <c r="E184" s="142"/>
      <c r="F184" s="174"/>
    </row>
    <row r="185" spans="1:6" s="86" customFormat="1" hidden="1" x14ac:dyDescent="0.2">
      <c r="A185" s="151"/>
      <c r="B185" s="146"/>
      <c r="C185" s="141"/>
      <c r="D185" s="141"/>
      <c r="E185" s="142"/>
      <c r="F185" s="174"/>
    </row>
    <row r="186" spans="1:6" s="86" customFormat="1" hidden="1" x14ac:dyDescent="0.2">
      <c r="A186" s="151"/>
      <c r="B186" s="146"/>
      <c r="C186" s="141"/>
      <c r="D186" s="141"/>
      <c r="E186" s="142"/>
      <c r="F186" s="174"/>
    </row>
    <row r="187" spans="1:6" s="86" customFormat="1" hidden="1" x14ac:dyDescent="0.2">
      <c r="A187" s="151"/>
      <c r="B187" s="146"/>
      <c r="C187" s="141"/>
      <c r="D187" s="141"/>
      <c r="E187" s="142"/>
      <c r="F187" s="175"/>
    </row>
    <row r="188" spans="1:6" s="86" customFormat="1" hidden="1" x14ac:dyDescent="0.2">
      <c r="A188" s="151"/>
      <c r="B188" s="146"/>
      <c r="C188" s="141"/>
      <c r="D188" s="141"/>
      <c r="E188" s="142"/>
      <c r="F188" s="174"/>
    </row>
    <row r="189" spans="1:6" s="86" customFormat="1" hidden="1" x14ac:dyDescent="0.2">
      <c r="A189" s="151"/>
      <c r="B189" s="146"/>
      <c r="C189" s="141"/>
      <c r="D189" s="141"/>
      <c r="E189" s="142"/>
      <c r="F189" s="174"/>
    </row>
    <row r="190" spans="1:6" s="86" customFormat="1" hidden="1" x14ac:dyDescent="0.2">
      <c r="A190" s="151"/>
      <c r="B190" s="146"/>
      <c r="C190" s="141"/>
      <c r="D190" s="141"/>
      <c r="E190" s="142"/>
      <c r="F190" s="175"/>
    </row>
    <row r="191" spans="1:6" s="86" customFormat="1" hidden="1" x14ac:dyDescent="0.2">
      <c r="A191" s="151"/>
      <c r="B191" s="146"/>
      <c r="C191" s="141"/>
      <c r="D191" s="141"/>
      <c r="E191" s="142"/>
      <c r="F191" s="174"/>
    </row>
    <row r="192" spans="1:6" s="86" customFormat="1" hidden="1" x14ac:dyDescent="0.2">
      <c r="A192" s="151"/>
      <c r="B192" s="146"/>
      <c r="C192" s="141"/>
      <c r="D192" s="141"/>
      <c r="E192" s="142"/>
      <c r="F192" s="174"/>
    </row>
    <row r="193" spans="1:6" s="86" customFormat="1" hidden="1" x14ac:dyDescent="0.2">
      <c r="A193" s="151"/>
      <c r="B193" s="146"/>
      <c r="C193" s="141"/>
      <c r="D193" s="141"/>
      <c r="E193" s="142"/>
      <c r="F193" s="174"/>
    </row>
    <row r="194" spans="1:6" s="86" customFormat="1" hidden="1" x14ac:dyDescent="0.2">
      <c r="A194" s="151"/>
      <c r="B194" s="146"/>
      <c r="C194" s="141"/>
      <c r="D194" s="141"/>
      <c r="E194" s="142"/>
      <c r="F194" s="174"/>
    </row>
    <row r="195" spans="1:6" s="86" customFormat="1" hidden="1" x14ac:dyDescent="0.2">
      <c r="A195" s="151"/>
      <c r="B195" s="146"/>
      <c r="C195" s="141"/>
      <c r="D195" s="141"/>
      <c r="E195" s="142"/>
      <c r="F195" s="174"/>
    </row>
    <row r="196" spans="1:6" s="86" customFormat="1" hidden="1" x14ac:dyDescent="0.2">
      <c r="A196" s="151"/>
      <c r="B196" s="146"/>
      <c r="C196" s="141"/>
      <c r="D196" s="141"/>
      <c r="E196" s="142"/>
      <c r="F196" s="175"/>
    </row>
    <row r="197" spans="1:6" s="86" customFormat="1" hidden="1" x14ac:dyDescent="0.2">
      <c r="A197" s="151"/>
      <c r="B197" s="146"/>
      <c r="C197" s="141"/>
      <c r="D197" s="141"/>
      <c r="E197" s="142"/>
      <c r="F197" s="174"/>
    </row>
    <row r="198" spans="1:6" s="86" customFormat="1" hidden="1" x14ac:dyDescent="0.2">
      <c r="A198" s="151"/>
      <c r="B198" s="146"/>
      <c r="C198" s="141"/>
      <c r="D198" s="141"/>
      <c r="E198" s="142"/>
      <c r="F198" s="174"/>
    </row>
    <row r="199" spans="1:6" s="86" customFormat="1" hidden="1" x14ac:dyDescent="0.2">
      <c r="A199" s="151"/>
      <c r="B199" s="146"/>
      <c r="C199" s="141"/>
      <c r="D199" s="141"/>
      <c r="E199" s="142"/>
      <c r="F199" s="174"/>
    </row>
    <row r="200" spans="1:6" s="86" customFormat="1" hidden="1" x14ac:dyDescent="0.2">
      <c r="A200" s="151"/>
      <c r="B200" s="146"/>
      <c r="C200" s="141"/>
      <c r="D200" s="141"/>
      <c r="E200" s="142"/>
      <c r="F200" s="174"/>
    </row>
    <row r="201" spans="1:6" s="86" customFormat="1" hidden="1" x14ac:dyDescent="0.2">
      <c r="A201" s="151"/>
      <c r="B201" s="146"/>
      <c r="C201" s="141"/>
      <c r="D201" s="141"/>
      <c r="E201" s="142"/>
      <c r="F201" s="174"/>
    </row>
    <row r="202" spans="1:6" s="86" customFormat="1" hidden="1" x14ac:dyDescent="0.2">
      <c r="A202" s="151"/>
      <c r="B202" s="146"/>
      <c r="C202" s="141"/>
      <c r="D202" s="141"/>
      <c r="E202" s="142"/>
      <c r="F202" s="174"/>
    </row>
    <row r="203" spans="1:6" s="86" customFormat="1" hidden="1" x14ac:dyDescent="0.2">
      <c r="A203" s="151"/>
      <c r="B203" s="146"/>
      <c r="C203" s="141"/>
      <c r="D203" s="141"/>
      <c r="E203" s="142"/>
      <c r="F203" s="174"/>
    </row>
    <row r="204" spans="1:6" s="86" customFormat="1" hidden="1" x14ac:dyDescent="0.2">
      <c r="A204" s="151"/>
      <c r="B204" s="146"/>
      <c r="C204" s="141"/>
      <c r="D204" s="141"/>
      <c r="E204" s="142"/>
      <c r="F204" s="178"/>
    </row>
    <row r="205" spans="1:6" s="86" customFormat="1" hidden="1" x14ac:dyDescent="0.2">
      <c r="A205" s="151"/>
      <c r="B205" s="146"/>
      <c r="C205" s="141"/>
      <c r="D205" s="141"/>
      <c r="E205" s="142"/>
      <c r="F205" s="178"/>
    </row>
    <row r="206" spans="1:6" s="86" customFormat="1" hidden="1" x14ac:dyDescent="0.2">
      <c r="A206" s="151"/>
      <c r="B206" s="146"/>
      <c r="C206" s="141"/>
      <c r="D206" s="141"/>
      <c r="E206" s="142"/>
      <c r="F206" s="178"/>
    </row>
    <row r="207" spans="1:6" s="86" customFormat="1" hidden="1" x14ac:dyDescent="0.2">
      <c r="A207" s="151"/>
      <c r="B207" s="146"/>
      <c r="C207" s="141"/>
      <c r="D207" s="141"/>
      <c r="E207" s="142"/>
      <c r="F207" s="174"/>
    </row>
    <row r="208" spans="1:6" s="86" customFormat="1" hidden="1" x14ac:dyDescent="0.2">
      <c r="A208" s="151"/>
      <c r="B208" s="146"/>
      <c r="C208" s="141"/>
      <c r="D208" s="141"/>
      <c r="E208" s="142"/>
      <c r="F208" s="174"/>
    </row>
    <row r="209" spans="1:6" s="86" customFormat="1" hidden="1" x14ac:dyDescent="0.2">
      <c r="A209" s="151"/>
      <c r="B209" s="146"/>
      <c r="C209" s="141"/>
      <c r="D209" s="141"/>
      <c r="E209" s="142"/>
      <c r="F209" s="174"/>
    </row>
    <row r="210" spans="1:6" s="86" customFormat="1" hidden="1" x14ac:dyDescent="0.2">
      <c r="A210" s="151"/>
      <c r="B210" s="146"/>
      <c r="C210" s="141"/>
      <c r="D210" s="141"/>
      <c r="E210" s="142"/>
      <c r="F210" s="174"/>
    </row>
    <row r="211" spans="1:6" s="86" customFormat="1" hidden="1" x14ac:dyDescent="0.2">
      <c r="A211" s="151"/>
      <c r="B211" s="146"/>
      <c r="C211" s="141"/>
      <c r="D211" s="141"/>
      <c r="E211" s="142"/>
      <c r="F211" s="174"/>
    </row>
    <row r="212" spans="1:6" s="86" customFormat="1" hidden="1" x14ac:dyDescent="0.2">
      <c r="A212" s="151"/>
      <c r="B212" s="146"/>
      <c r="C212" s="141"/>
      <c r="D212" s="141"/>
      <c r="E212" s="142"/>
      <c r="F212" s="174"/>
    </row>
    <row r="213" spans="1:6" s="86" customFormat="1" hidden="1" x14ac:dyDescent="0.2">
      <c r="A213" s="151"/>
      <c r="B213" s="146"/>
      <c r="C213" s="141"/>
      <c r="D213" s="141"/>
      <c r="E213" s="142"/>
      <c r="F213" s="174"/>
    </row>
    <row r="214" spans="1:6" s="148" customFormat="1" hidden="1" x14ac:dyDescent="0.2">
      <c r="A214" s="151"/>
      <c r="B214" s="146"/>
      <c r="C214" s="141"/>
      <c r="D214" s="141"/>
      <c r="E214" s="142"/>
      <c r="F214" s="175"/>
    </row>
    <row r="215" spans="1:6" s="148" customFormat="1" hidden="1" x14ac:dyDescent="0.2">
      <c r="A215" s="151"/>
      <c r="B215" s="146"/>
      <c r="C215" s="141"/>
      <c r="D215" s="141"/>
      <c r="E215" s="142"/>
      <c r="F215" s="175"/>
    </row>
    <row r="216" spans="1:6" s="148" customFormat="1" hidden="1" x14ac:dyDescent="0.2">
      <c r="A216" s="151"/>
      <c r="B216" s="146"/>
      <c r="C216" s="141"/>
      <c r="D216" s="141"/>
      <c r="E216" s="142"/>
      <c r="F216" s="175"/>
    </row>
    <row r="217" spans="1:6" s="148" customFormat="1" hidden="1" x14ac:dyDescent="0.2">
      <c r="A217" s="151"/>
      <c r="B217" s="146"/>
      <c r="C217" s="141"/>
      <c r="D217" s="141"/>
      <c r="E217" s="142"/>
      <c r="F217" s="178"/>
    </row>
    <row r="218" spans="1:6" s="148" customFormat="1" hidden="1" x14ac:dyDescent="0.2">
      <c r="A218" s="151"/>
      <c r="B218" s="146"/>
      <c r="C218" s="141"/>
      <c r="D218" s="141"/>
      <c r="E218" s="142"/>
      <c r="F218" s="178"/>
    </row>
    <row r="219" spans="1:6" s="148" customFormat="1" hidden="1" x14ac:dyDescent="0.2">
      <c r="A219" s="151"/>
      <c r="B219" s="146"/>
      <c r="C219" s="141"/>
      <c r="D219" s="141"/>
      <c r="E219" s="142"/>
      <c r="F219" s="178"/>
    </row>
    <row r="220" spans="1:6" s="148" customFormat="1" hidden="1" x14ac:dyDescent="0.2">
      <c r="A220" s="151"/>
      <c r="B220" s="146"/>
      <c r="C220" s="141"/>
      <c r="D220" s="141"/>
      <c r="E220" s="142"/>
      <c r="F220" s="178"/>
    </row>
    <row r="221" spans="1:6" s="148" customFormat="1" hidden="1" x14ac:dyDescent="0.2">
      <c r="A221" s="151"/>
      <c r="B221" s="146"/>
      <c r="C221" s="141"/>
      <c r="D221" s="141"/>
      <c r="E221" s="142"/>
      <c r="F221" s="178"/>
    </row>
    <row r="222" spans="1:6" s="148" customFormat="1" hidden="1" x14ac:dyDescent="0.2">
      <c r="A222" s="151"/>
      <c r="B222" s="146"/>
      <c r="C222" s="141"/>
      <c r="D222" s="141"/>
      <c r="E222" s="142"/>
      <c r="F222" s="178"/>
    </row>
    <row r="223" spans="1:6" s="148" customFormat="1" hidden="1" x14ac:dyDescent="0.2">
      <c r="A223" s="151"/>
      <c r="B223" s="146"/>
      <c r="C223" s="141"/>
      <c r="D223" s="141"/>
      <c r="E223" s="142"/>
      <c r="F223" s="178"/>
    </row>
    <row r="224" spans="1:6" s="148" customFormat="1" hidden="1" x14ac:dyDescent="0.2">
      <c r="A224" s="151"/>
      <c r="B224" s="146"/>
      <c r="C224" s="141"/>
      <c r="D224" s="141"/>
      <c r="E224" s="142"/>
      <c r="F224" s="178"/>
    </row>
    <row r="225" spans="1:6" s="148" customFormat="1" hidden="1" x14ac:dyDescent="0.2">
      <c r="A225" s="151"/>
      <c r="B225" s="146"/>
      <c r="C225" s="141"/>
      <c r="D225" s="141"/>
      <c r="E225" s="142"/>
      <c r="F225" s="178"/>
    </row>
    <row r="226" spans="1:6" s="148" customFormat="1" hidden="1" x14ac:dyDescent="0.2">
      <c r="A226" s="151"/>
      <c r="B226" s="146"/>
      <c r="C226" s="141"/>
      <c r="D226" s="141"/>
      <c r="E226" s="142"/>
      <c r="F226" s="178"/>
    </row>
    <row r="227" spans="1:6" s="148" customFormat="1" hidden="1" x14ac:dyDescent="0.2">
      <c r="A227" s="151"/>
      <c r="B227" s="146"/>
      <c r="C227" s="141"/>
      <c r="D227" s="141"/>
      <c r="E227" s="142"/>
      <c r="F227" s="178"/>
    </row>
    <row r="228" spans="1:6" s="148" customFormat="1" hidden="1" x14ac:dyDescent="0.2">
      <c r="A228" s="151"/>
      <c r="B228" s="146"/>
      <c r="C228" s="141"/>
      <c r="D228" s="141"/>
      <c r="E228" s="142"/>
      <c r="F228" s="178"/>
    </row>
    <row r="229" spans="1:6" s="148" customFormat="1" hidden="1" x14ac:dyDescent="0.2">
      <c r="A229" s="151"/>
      <c r="B229" s="146"/>
      <c r="C229" s="141"/>
      <c r="D229" s="141"/>
      <c r="E229" s="142"/>
      <c r="F229" s="178"/>
    </row>
    <row r="230" spans="1:6" s="148" customFormat="1" hidden="1" x14ac:dyDescent="0.2">
      <c r="A230" s="151"/>
      <c r="B230" s="146"/>
      <c r="C230" s="141"/>
      <c r="D230" s="141"/>
      <c r="E230" s="142"/>
      <c r="F230" s="178"/>
    </row>
    <row r="231" spans="1:6" s="148" customFormat="1" hidden="1" x14ac:dyDescent="0.2">
      <c r="A231" s="151"/>
      <c r="B231" s="146"/>
      <c r="C231" s="141"/>
      <c r="D231" s="141"/>
      <c r="E231" s="142"/>
      <c r="F231" s="175"/>
    </row>
    <row r="232" spans="1:6" s="148" customFormat="1" hidden="1" x14ac:dyDescent="0.2">
      <c r="A232" s="151"/>
      <c r="B232" s="146"/>
      <c r="C232" s="141"/>
      <c r="D232" s="141"/>
      <c r="E232" s="142"/>
      <c r="F232" s="175"/>
    </row>
    <row r="233" spans="1:6" s="148" customFormat="1" hidden="1" x14ac:dyDescent="0.2">
      <c r="A233" s="151"/>
      <c r="B233" s="146"/>
      <c r="C233" s="141"/>
      <c r="D233" s="141"/>
      <c r="E233" s="142"/>
      <c r="F233" s="175"/>
    </row>
    <row r="234" spans="1:6" s="148" customFormat="1" hidden="1" x14ac:dyDescent="0.2">
      <c r="A234" s="151"/>
      <c r="B234" s="146"/>
      <c r="C234" s="141"/>
      <c r="D234" s="141"/>
      <c r="E234" s="142"/>
      <c r="F234" s="175"/>
    </row>
    <row r="235" spans="1:6" s="148" customFormat="1" hidden="1" x14ac:dyDescent="0.2">
      <c r="A235" s="151"/>
      <c r="B235" s="146"/>
      <c r="C235" s="141"/>
      <c r="D235" s="141"/>
      <c r="E235" s="142"/>
      <c r="F235" s="175"/>
    </row>
    <row r="236" spans="1:6" s="148" customFormat="1" hidden="1" x14ac:dyDescent="0.2">
      <c r="A236" s="151"/>
      <c r="B236" s="146"/>
      <c r="C236" s="141"/>
      <c r="D236" s="141"/>
      <c r="E236" s="142"/>
      <c r="F236" s="175"/>
    </row>
    <row r="237" spans="1:6" s="148" customFormat="1" hidden="1" x14ac:dyDescent="0.2">
      <c r="A237" s="151"/>
      <c r="B237" s="146"/>
      <c r="C237" s="141"/>
      <c r="D237" s="141"/>
      <c r="E237" s="142"/>
      <c r="F237" s="175"/>
    </row>
    <row r="238" spans="1:6" s="148" customFormat="1" hidden="1" x14ac:dyDescent="0.2">
      <c r="A238" s="151"/>
      <c r="B238" s="146"/>
      <c r="C238" s="141"/>
      <c r="D238" s="141"/>
      <c r="E238" s="142"/>
      <c r="F238" s="175"/>
    </row>
    <row r="239" spans="1:6" s="148" customFormat="1" hidden="1" x14ac:dyDescent="0.2">
      <c r="A239" s="151"/>
      <c r="B239" s="146"/>
      <c r="C239" s="141"/>
      <c r="D239" s="141"/>
      <c r="E239" s="142"/>
      <c r="F239" s="175"/>
    </row>
    <row r="240" spans="1:6" s="148" customFormat="1" hidden="1" x14ac:dyDescent="0.2">
      <c r="A240" s="151"/>
      <c r="B240" s="146"/>
      <c r="C240" s="141"/>
      <c r="D240" s="141"/>
      <c r="E240" s="142"/>
      <c r="F240" s="175"/>
    </row>
    <row r="241" spans="1:6" s="148" customFormat="1" hidden="1" x14ac:dyDescent="0.2">
      <c r="A241" s="151"/>
      <c r="B241" s="146"/>
      <c r="C241" s="141"/>
      <c r="D241" s="141"/>
      <c r="E241" s="142"/>
      <c r="F241" s="175"/>
    </row>
    <row r="242" spans="1:6" s="148" customFormat="1" hidden="1" x14ac:dyDescent="0.2">
      <c r="A242" s="151"/>
      <c r="B242" s="146"/>
      <c r="C242" s="141"/>
      <c r="D242" s="141"/>
      <c r="E242" s="142"/>
      <c r="F242" s="175"/>
    </row>
    <row r="243" spans="1:6" s="148" customFormat="1" hidden="1" x14ac:dyDescent="0.2">
      <c r="A243" s="151"/>
      <c r="B243" s="146"/>
      <c r="C243" s="141"/>
      <c r="D243" s="141"/>
      <c r="E243" s="142"/>
      <c r="F243" s="175"/>
    </row>
    <row r="244" spans="1:6" s="148" customFormat="1" hidden="1" x14ac:dyDescent="0.2">
      <c r="A244" s="151"/>
      <c r="B244" s="146"/>
      <c r="C244" s="141"/>
      <c r="D244" s="141"/>
      <c r="E244" s="142"/>
      <c r="F244" s="175"/>
    </row>
    <row r="245" spans="1:6" s="148" customFormat="1" hidden="1" x14ac:dyDescent="0.2">
      <c r="A245" s="151"/>
      <c r="B245" s="146"/>
      <c r="C245" s="141"/>
      <c r="D245" s="141"/>
      <c r="E245" s="142"/>
      <c r="F245" s="175"/>
    </row>
    <row r="246" spans="1:6" s="148" customFormat="1" hidden="1" x14ac:dyDescent="0.2">
      <c r="A246" s="151"/>
      <c r="B246" s="146"/>
      <c r="C246" s="141"/>
      <c r="D246" s="141"/>
      <c r="E246" s="142"/>
      <c r="F246" s="175"/>
    </row>
    <row r="247" spans="1:6" s="148" customFormat="1" hidden="1" x14ac:dyDescent="0.2">
      <c r="A247" s="151"/>
      <c r="B247" s="146"/>
      <c r="C247" s="141"/>
      <c r="D247" s="141"/>
      <c r="E247" s="142"/>
      <c r="F247" s="175"/>
    </row>
    <row r="248" spans="1:6" s="148" customFormat="1" hidden="1" x14ac:dyDescent="0.2">
      <c r="A248" s="151"/>
      <c r="B248" s="146"/>
      <c r="C248" s="141"/>
      <c r="D248" s="141"/>
      <c r="E248" s="142"/>
      <c r="F248" s="175"/>
    </row>
    <row r="249" spans="1:6" s="148" customFormat="1" hidden="1" x14ac:dyDescent="0.2">
      <c r="A249" s="151"/>
      <c r="B249" s="146"/>
      <c r="C249" s="141"/>
      <c r="D249" s="141"/>
      <c r="E249" s="142"/>
      <c r="F249" s="175"/>
    </row>
    <row r="250" spans="1:6" s="148" customFormat="1" hidden="1" x14ac:dyDescent="0.2">
      <c r="A250" s="151"/>
      <c r="B250" s="146"/>
      <c r="C250" s="141"/>
      <c r="D250" s="141"/>
      <c r="E250" s="142"/>
      <c r="F250" s="175"/>
    </row>
    <row r="251" spans="1:6" s="148" customFormat="1" hidden="1" x14ac:dyDescent="0.2">
      <c r="A251" s="151"/>
      <c r="B251" s="146"/>
      <c r="C251" s="141"/>
      <c r="D251" s="141"/>
      <c r="E251" s="142"/>
      <c r="F251" s="175"/>
    </row>
    <row r="252" spans="1:6" s="148" customFormat="1" hidden="1" x14ac:dyDescent="0.2">
      <c r="A252" s="151"/>
      <c r="B252" s="146"/>
      <c r="C252" s="141"/>
      <c r="D252" s="141"/>
      <c r="E252" s="142"/>
      <c r="F252" s="175"/>
    </row>
    <row r="253" spans="1:6" s="148" customFormat="1" hidden="1" x14ac:dyDescent="0.2">
      <c r="A253" s="163"/>
      <c r="B253" s="146"/>
      <c r="C253" s="141"/>
      <c r="D253" s="141"/>
      <c r="E253" s="142"/>
      <c r="F253" s="175"/>
    </row>
    <row r="254" spans="1:6" s="148" customFormat="1" hidden="1" x14ac:dyDescent="0.2">
      <c r="A254" s="151"/>
      <c r="B254" s="146"/>
      <c r="C254" s="141"/>
      <c r="D254" s="141"/>
      <c r="E254" s="142"/>
      <c r="F254" s="175"/>
    </row>
    <row r="255" spans="1:6" s="148" customFormat="1" hidden="1" x14ac:dyDescent="0.2">
      <c r="A255" s="151"/>
      <c r="B255" s="146"/>
      <c r="C255" s="141"/>
      <c r="D255" s="141"/>
      <c r="E255" s="142"/>
      <c r="F255" s="175"/>
    </row>
    <row r="256" spans="1:6" s="148" customFormat="1" hidden="1" x14ac:dyDescent="0.2">
      <c r="A256" s="151"/>
      <c r="B256" s="146"/>
      <c r="C256" s="141"/>
      <c r="D256" s="141"/>
      <c r="E256" s="142"/>
      <c r="F256" s="175"/>
    </row>
    <row r="257" spans="1:6" s="148" customFormat="1" ht="16.5" hidden="1" customHeight="1" x14ac:dyDescent="0.2">
      <c r="A257" s="151"/>
      <c r="B257" s="146"/>
      <c r="C257" s="141"/>
      <c r="D257" s="141"/>
      <c r="E257" s="142"/>
      <c r="F257" s="175"/>
    </row>
    <row r="258" spans="1:6" s="148" customFormat="1" hidden="1" x14ac:dyDescent="0.2">
      <c r="A258" s="151"/>
      <c r="B258" s="146"/>
      <c r="C258" s="141"/>
      <c r="D258" s="141"/>
      <c r="E258" s="142"/>
      <c r="F258" s="175"/>
    </row>
    <row r="259" spans="1:6" s="148" customFormat="1" hidden="1" x14ac:dyDescent="0.2">
      <c r="A259" s="151"/>
      <c r="B259" s="146"/>
      <c r="C259" s="141"/>
      <c r="D259" s="141"/>
      <c r="E259" s="142"/>
      <c r="F259" s="175"/>
    </row>
    <row r="260" spans="1:6" s="148" customFormat="1" hidden="1" x14ac:dyDescent="0.2">
      <c r="A260" s="151"/>
      <c r="B260" s="146"/>
      <c r="C260" s="141"/>
      <c r="D260" s="141"/>
      <c r="E260" s="142"/>
      <c r="F260" s="175"/>
    </row>
    <row r="261" spans="1:6" s="161" customFormat="1" hidden="1" x14ac:dyDescent="0.2">
      <c r="A261" s="151"/>
      <c r="B261" s="146"/>
      <c r="C261" s="141"/>
      <c r="D261" s="141"/>
      <c r="E261" s="142"/>
      <c r="F261" s="175"/>
    </row>
    <row r="262" spans="1:6" s="148" customFormat="1" hidden="1" x14ac:dyDescent="0.2">
      <c r="A262" s="151"/>
      <c r="B262" s="146"/>
      <c r="C262" s="141"/>
      <c r="D262" s="141"/>
      <c r="E262" s="142"/>
      <c r="F262" s="175"/>
    </row>
    <row r="263" spans="1:6" s="161" customFormat="1" hidden="1" x14ac:dyDescent="0.2">
      <c r="A263" s="151"/>
      <c r="B263" s="146"/>
      <c r="C263" s="141"/>
      <c r="D263" s="141"/>
      <c r="E263" s="142"/>
      <c r="F263" s="175"/>
    </row>
    <row r="264" spans="1:6" s="148" customFormat="1" hidden="1" x14ac:dyDescent="0.2">
      <c r="A264" s="151"/>
      <c r="B264" s="146"/>
      <c r="C264" s="141"/>
      <c r="D264" s="141"/>
      <c r="E264" s="142"/>
      <c r="F264" s="175"/>
    </row>
    <row r="265" spans="1:6" s="148" customFormat="1" hidden="1" x14ac:dyDescent="0.2">
      <c r="A265" s="151"/>
      <c r="B265" s="146"/>
      <c r="C265" s="141"/>
      <c r="D265" s="141"/>
      <c r="E265" s="142"/>
      <c r="F265" s="175"/>
    </row>
    <row r="266" spans="1:6" s="148" customFormat="1" hidden="1" x14ac:dyDescent="0.2">
      <c r="A266" s="151"/>
      <c r="B266" s="146"/>
      <c r="C266" s="141"/>
      <c r="D266" s="141"/>
      <c r="E266" s="142"/>
      <c r="F266" s="175"/>
    </row>
    <row r="267" spans="1:6" s="161" customFormat="1" hidden="1" x14ac:dyDescent="0.2">
      <c r="A267" s="151"/>
      <c r="B267" s="146"/>
      <c r="C267" s="141"/>
      <c r="D267" s="141"/>
      <c r="E267" s="142"/>
      <c r="F267" s="175"/>
    </row>
    <row r="268" spans="1:6" s="148" customFormat="1" hidden="1" x14ac:dyDescent="0.2">
      <c r="A268" s="151"/>
      <c r="B268" s="146"/>
      <c r="C268" s="141"/>
      <c r="D268" s="141"/>
      <c r="E268" s="142"/>
      <c r="F268" s="175"/>
    </row>
    <row r="269" spans="1:6" s="148" customFormat="1" hidden="1" x14ac:dyDescent="0.2">
      <c r="A269" s="151"/>
      <c r="B269" s="146"/>
      <c r="C269" s="141"/>
      <c r="D269" s="141"/>
      <c r="E269" s="142"/>
      <c r="F269" s="175"/>
    </row>
    <row r="270" spans="1:6" s="148" customFormat="1" hidden="1" x14ac:dyDescent="0.2">
      <c r="A270" s="151"/>
      <c r="B270" s="146"/>
      <c r="C270" s="141"/>
      <c r="D270" s="141"/>
      <c r="E270" s="142"/>
      <c r="F270" s="175"/>
    </row>
    <row r="271" spans="1:6" s="161" customFormat="1" hidden="1" x14ac:dyDescent="0.2">
      <c r="A271" s="151"/>
      <c r="B271" s="146"/>
      <c r="C271" s="141"/>
      <c r="D271" s="141"/>
      <c r="E271" s="142"/>
      <c r="F271" s="175"/>
    </row>
    <row r="272" spans="1:6" s="148" customFormat="1" hidden="1" x14ac:dyDescent="0.2">
      <c r="A272" s="151"/>
      <c r="B272" s="146"/>
      <c r="C272" s="141"/>
      <c r="D272" s="141"/>
      <c r="E272" s="142"/>
      <c r="F272" s="175"/>
    </row>
    <row r="273" spans="1:6" s="148" customFormat="1" hidden="1" x14ac:dyDescent="0.2">
      <c r="A273" s="151"/>
      <c r="B273" s="146"/>
      <c r="C273" s="141"/>
      <c r="D273" s="141"/>
      <c r="E273" s="142"/>
      <c r="F273" s="175"/>
    </row>
    <row r="274" spans="1:6" s="148" customFormat="1" hidden="1" x14ac:dyDescent="0.2">
      <c r="A274" s="151"/>
      <c r="B274" s="146"/>
      <c r="C274" s="141"/>
      <c r="D274" s="141"/>
      <c r="E274" s="142"/>
      <c r="F274" s="175"/>
    </row>
    <row r="275" spans="1:6" s="148" customFormat="1" hidden="1" x14ac:dyDescent="0.2">
      <c r="A275" s="151"/>
      <c r="B275" s="146"/>
      <c r="C275" s="141"/>
      <c r="D275" s="141"/>
      <c r="E275" s="142"/>
      <c r="F275" s="175"/>
    </row>
    <row r="276" spans="1:6" s="161" customFormat="1" hidden="1" x14ac:dyDescent="0.2">
      <c r="A276" s="151"/>
      <c r="B276" s="146"/>
      <c r="C276" s="141"/>
      <c r="D276" s="141"/>
      <c r="E276" s="142"/>
      <c r="F276" s="175"/>
    </row>
    <row r="277" spans="1:6" s="148" customFormat="1" hidden="1" x14ac:dyDescent="0.2">
      <c r="A277" s="151"/>
      <c r="B277" s="146"/>
      <c r="C277" s="141"/>
      <c r="D277" s="141"/>
      <c r="E277" s="142"/>
      <c r="F277" s="175"/>
    </row>
    <row r="278" spans="1:6" s="148" customFormat="1" hidden="1" x14ac:dyDescent="0.2">
      <c r="A278" s="151"/>
      <c r="B278" s="146"/>
      <c r="C278" s="141"/>
      <c r="D278" s="141"/>
      <c r="E278" s="142"/>
      <c r="F278" s="175"/>
    </row>
    <row r="279" spans="1:6" s="148" customFormat="1" hidden="1" x14ac:dyDescent="0.2">
      <c r="A279" s="151"/>
      <c r="B279" s="146"/>
      <c r="C279" s="141"/>
      <c r="D279" s="141"/>
      <c r="E279" s="142"/>
      <c r="F279" s="175"/>
    </row>
    <row r="280" spans="1:6" s="148" customFormat="1" hidden="1" x14ac:dyDescent="0.2">
      <c r="A280" s="151"/>
      <c r="B280" s="146"/>
      <c r="C280" s="141"/>
      <c r="D280" s="141"/>
      <c r="E280" s="142"/>
      <c r="F280" s="175"/>
    </row>
    <row r="281" spans="1:6" s="148" customFormat="1" hidden="1" x14ac:dyDescent="0.2">
      <c r="A281" s="151"/>
      <c r="B281" s="146"/>
      <c r="C281" s="162"/>
      <c r="D281" s="141"/>
      <c r="E281" s="142"/>
      <c r="F281" s="175"/>
    </row>
    <row r="282" spans="1:6" s="148" customFormat="1" hidden="1" x14ac:dyDescent="0.2">
      <c r="A282" s="151"/>
      <c r="B282" s="146"/>
      <c r="C282" s="141"/>
      <c r="D282" s="141"/>
      <c r="E282" s="142"/>
      <c r="F282" s="175"/>
    </row>
    <row r="283" spans="1:6" s="148" customFormat="1" x14ac:dyDescent="0.2">
      <c r="A283" s="151"/>
      <c r="B283" s="146"/>
      <c r="C283" s="141"/>
      <c r="D283" s="141"/>
      <c r="E283" s="142"/>
      <c r="F283" s="175"/>
    </row>
    <row r="284" spans="1:6" s="148" customFormat="1" ht="13.15" customHeight="1" x14ac:dyDescent="0.2">
      <c r="A284" s="151" t="s">
        <v>264</v>
      </c>
      <c r="B284" s="146">
        <f>10+16+15</f>
        <v>41</v>
      </c>
      <c r="C284" s="141" t="s">
        <v>283</v>
      </c>
      <c r="D284" s="141" t="s">
        <v>282</v>
      </c>
      <c r="E284" s="142"/>
      <c r="F284" s="175"/>
    </row>
    <row r="285" spans="1:6" s="148" customFormat="1" x14ac:dyDescent="0.2">
      <c r="A285" s="151"/>
      <c r="B285" s="146"/>
      <c r="C285" s="141"/>
      <c r="D285" s="141"/>
      <c r="E285" s="142"/>
      <c r="F285" s="175"/>
    </row>
    <row r="286" spans="1:6" ht="19.5" customHeight="1" x14ac:dyDescent="0.2">
      <c r="A286" s="114" t="s">
        <v>143</v>
      </c>
      <c r="B286" s="184">
        <f>SUM(B18:B285)</f>
        <v>14640.82</v>
      </c>
      <c r="C286" s="169" t="str">
        <f>IF(SUBTOTAL(3,B18:B285)=SUBTOTAL(103,B18:B285),'Summary and sign-off'!$A$47,'Summary and sign-off'!$A$48)</f>
        <v>Check - there are no hidden rows with data</v>
      </c>
      <c r="D286" s="198" t="str">
        <f>IF('Summary and sign-off'!F55='Summary and sign-off'!F53,'Summary and sign-off'!A50,'Summary and sign-off'!A49)</f>
        <v>Check - each entry provides sufficient information</v>
      </c>
      <c r="E286" s="198"/>
      <c r="F286" s="170"/>
    </row>
    <row r="287" spans="1:6" ht="10.5" customHeight="1" x14ac:dyDescent="0.2">
      <c r="A287" s="28"/>
      <c r="B287" s="23"/>
      <c r="C287" s="28"/>
      <c r="D287" s="28"/>
      <c r="E287" s="28"/>
      <c r="F287" s="176"/>
    </row>
    <row r="288" spans="1:6" ht="24.75" customHeight="1" x14ac:dyDescent="0.2">
      <c r="A288" s="199" t="s">
        <v>144</v>
      </c>
      <c r="B288" s="199"/>
      <c r="C288" s="199"/>
      <c r="D288" s="199"/>
      <c r="E288" s="199"/>
      <c r="F288" s="170"/>
    </row>
    <row r="289" spans="1:6" ht="27" customHeight="1" x14ac:dyDescent="0.2">
      <c r="A289" s="36" t="s">
        <v>118</v>
      </c>
      <c r="B289" s="36" t="s">
        <v>62</v>
      </c>
      <c r="C289" s="36" t="s">
        <v>145</v>
      </c>
      <c r="D289" s="36" t="s">
        <v>146</v>
      </c>
      <c r="E289" s="36" t="s">
        <v>122</v>
      </c>
      <c r="F289" s="180"/>
    </row>
    <row r="290" spans="1:6" s="148" customFormat="1" x14ac:dyDescent="0.2">
      <c r="A290" s="151">
        <v>44361</v>
      </c>
      <c r="B290" s="146">
        <v>12.68</v>
      </c>
      <c r="C290" s="152" t="s">
        <v>201</v>
      </c>
      <c r="D290" s="141" t="s">
        <v>256</v>
      </c>
      <c r="E290" s="142" t="s">
        <v>128</v>
      </c>
      <c r="F290" s="175"/>
    </row>
    <row r="291" spans="1:6" s="86" customFormat="1" x14ac:dyDescent="0.2">
      <c r="A291" s="147"/>
      <c r="B291" s="150"/>
      <c r="C291" s="141"/>
      <c r="D291" s="141"/>
      <c r="E291" s="142"/>
      <c r="F291" s="174"/>
    </row>
    <row r="292" spans="1:6" ht="19.5" customHeight="1" x14ac:dyDescent="0.2">
      <c r="A292" s="114" t="s">
        <v>147</v>
      </c>
      <c r="B292" s="115">
        <f>SUM(B290:B291)</f>
        <v>12.68</v>
      </c>
      <c r="C292" s="169" t="str">
        <f>IF(SUBTOTAL(3,B290:B291)=SUBTOTAL(103,B290:B291),'Summary and sign-off'!$A$47,'Summary and sign-off'!$A$48)</f>
        <v>Check - there are no hidden rows with data</v>
      </c>
      <c r="D292" s="198" t="str">
        <f>IF('Summary and sign-off'!F56='Summary and sign-off'!F53,'Summary and sign-off'!A50,'Summary and sign-off'!A49)</f>
        <v>Check - each entry provides sufficient information</v>
      </c>
      <c r="E292" s="198"/>
      <c r="F292" s="170"/>
    </row>
    <row r="293" spans="1:6" ht="10.5" customHeight="1" x14ac:dyDescent="0.2">
      <c r="A293" s="28"/>
      <c r="B293" s="94"/>
      <c r="C293" s="23"/>
      <c r="D293" s="28"/>
      <c r="E293" s="28"/>
      <c r="F293" s="176"/>
    </row>
    <row r="294" spans="1:6" ht="34.5" customHeight="1" x14ac:dyDescent="0.2">
      <c r="A294" s="49" t="s">
        <v>148</v>
      </c>
      <c r="B294" s="95">
        <f>B14+B286+B292</f>
        <v>14653.5</v>
      </c>
      <c r="C294" s="50"/>
      <c r="D294" s="50"/>
      <c r="E294" s="50"/>
      <c r="F294" s="181"/>
    </row>
    <row r="295" spans="1:6" x14ac:dyDescent="0.2">
      <c r="A295" s="28"/>
      <c r="B295" s="23"/>
      <c r="C295" s="28"/>
      <c r="D295" s="28"/>
      <c r="E295" s="28"/>
      <c r="F295" s="176"/>
    </row>
    <row r="296" spans="1:6" x14ac:dyDescent="0.2">
      <c r="A296" s="51" t="s">
        <v>73</v>
      </c>
      <c r="B296" s="26"/>
      <c r="C296" s="27"/>
      <c r="D296" s="27"/>
      <c r="E296" s="27"/>
      <c r="F296" s="176"/>
    </row>
    <row r="297" spans="1:6" ht="12.6" customHeight="1" x14ac:dyDescent="0.2">
      <c r="A297" s="24" t="s">
        <v>149</v>
      </c>
      <c r="B297" s="52"/>
      <c r="C297" s="52"/>
      <c r="D297" s="33"/>
      <c r="E297" s="33"/>
      <c r="F297" s="176"/>
    </row>
    <row r="298" spans="1:6" ht="12.95" customHeight="1" x14ac:dyDescent="0.2">
      <c r="A298" s="32" t="s">
        <v>150</v>
      </c>
      <c r="B298" s="28"/>
      <c r="C298" s="33"/>
      <c r="D298" s="28"/>
      <c r="E298" s="33"/>
      <c r="F298" s="176"/>
    </row>
    <row r="299" spans="1:6" x14ac:dyDescent="0.2">
      <c r="A299" s="32" t="s">
        <v>151</v>
      </c>
      <c r="B299" s="33"/>
      <c r="C299" s="33"/>
      <c r="D299" s="33"/>
      <c r="E299" s="53"/>
      <c r="F299" s="170"/>
    </row>
    <row r="300" spans="1:6" x14ac:dyDescent="0.2">
      <c r="A300" s="24" t="s">
        <v>79</v>
      </c>
      <c r="B300" s="26"/>
      <c r="C300" s="27"/>
      <c r="D300" s="27"/>
      <c r="E300" s="27"/>
      <c r="F300" s="176"/>
    </row>
    <row r="301" spans="1:6" ht="12.95" customHeight="1" x14ac:dyDescent="0.2">
      <c r="A301" s="32" t="s">
        <v>152</v>
      </c>
      <c r="B301" s="28"/>
      <c r="C301" s="33"/>
      <c r="D301" s="28"/>
      <c r="E301" s="33"/>
      <c r="F301" s="176"/>
    </row>
    <row r="302" spans="1:6" x14ac:dyDescent="0.2">
      <c r="A302" s="32" t="s">
        <v>153</v>
      </c>
      <c r="B302" s="33"/>
      <c r="C302" s="33"/>
      <c r="D302" s="33"/>
      <c r="E302" s="53"/>
      <c r="F302" s="170"/>
    </row>
    <row r="303" spans="1:6" x14ac:dyDescent="0.2">
      <c r="A303" s="37" t="s">
        <v>154</v>
      </c>
      <c r="B303" s="37"/>
      <c r="C303" s="37"/>
      <c r="D303" s="37"/>
      <c r="E303" s="53"/>
      <c r="F303" s="170"/>
    </row>
    <row r="304" spans="1:6" x14ac:dyDescent="0.2">
      <c r="A304" s="41"/>
      <c r="B304" s="28"/>
      <c r="C304" s="28"/>
      <c r="D304" s="28"/>
      <c r="E304" s="47"/>
      <c r="F304" s="170"/>
    </row>
    <row r="305" spans="1:6" x14ac:dyDescent="0.2">
      <c r="A305" s="41"/>
      <c r="B305" s="28"/>
      <c r="C305" s="28"/>
      <c r="D305" s="28"/>
      <c r="E305" s="47"/>
      <c r="F305" s="170"/>
    </row>
    <row r="310" spans="1:6" ht="12.75" customHeight="1" x14ac:dyDescent="0.2"/>
    <row r="313" spans="1:6" x14ac:dyDescent="0.2">
      <c r="A313" s="54"/>
      <c r="B313" s="47"/>
      <c r="C313" s="47"/>
      <c r="D313" s="47"/>
      <c r="E313" s="47"/>
      <c r="F313" s="170"/>
    </row>
    <row r="314" spans="1:6" x14ac:dyDescent="0.2">
      <c r="A314" s="54"/>
      <c r="B314" s="47"/>
      <c r="C314" s="47"/>
      <c r="D314" s="47"/>
      <c r="E314" s="47"/>
      <c r="F314" s="170"/>
    </row>
    <row r="315" spans="1:6" x14ac:dyDescent="0.2">
      <c r="A315" s="54"/>
      <c r="B315" s="47"/>
      <c r="C315" s="47"/>
      <c r="D315" s="47"/>
      <c r="E315" s="47"/>
      <c r="F315" s="170"/>
    </row>
    <row r="316" spans="1:6" x14ac:dyDescent="0.2">
      <c r="A316" s="54"/>
      <c r="B316" s="47"/>
      <c r="C316" s="47"/>
      <c r="D316" s="47"/>
      <c r="E316" s="47"/>
      <c r="F316" s="170"/>
    </row>
    <row r="317" spans="1:6" x14ac:dyDescent="0.2">
      <c r="A317" s="54"/>
      <c r="B317" s="47"/>
      <c r="C317" s="47"/>
      <c r="D317" s="47"/>
      <c r="E317" s="47"/>
      <c r="F317" s="170"/>
    </row>
  </sheetData>
  <sheetProtection formatCells="0" formatRows="0" insertColumns="0" insertRows="0" deleteRows="0"/>
  <mergeCells count="15">
    <mergeCell ref="B7:E7"/>
    <mergeCell ref="B5:E5"/>
    <mergeCell ref="D292:E292"/>
    <mergeCell ref="A1:E1"/>
    <mergeCell ref="A16:E16"/>
    <mergeCell ref="A288:E288"/>
    <mergeCell ref="B2:E2"/>
    <mergeCell ref="B3:E3"/>
    <mergeCell ref="B4:E4"/>
    <mergeCell ref="A8:E8"/>
    <mergeCell ref="A9:E9"/>
    <mergeCell ref="B6:E6"/>
    <mergeCell ref="D14:E14"/>
    <mergeCell ref="D286:E286"/>
    <mergeCell ref="A10:E10"/>
  </mergeCells>
  <phoneticPr fontId="35" type="noConversion"/>
  <dataValidations xWindow="114" yWindow="676"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7:A285 A290:A291 A12:A13 A18:A8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89 A17 A11" xr:uid="{00000000-0002-0000-0300-000001000000}"/>
  </dataValidations>
  <pageMargins left="0.25" right="0.25" top="0.75" bottom="0.75" header="0.3" footer="0.3"/>
  <pageSetup paperSize="9" scale="7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14" yWindow="6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F46 B43:B45 B47:B51 F40:F42 B20:B27 B117:B285 B33:B39 B71:B85 B290:B291 B12:B13 F18:F23 F52:F70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J58"/>
  <sheetViews>
    <sheetView topLeftCell="A6" zoomScaleNormal="100" workbookViewId="0">
      <selection activeCell="C21" sqref="C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94" t="s">
        <v>110</v>
      </c>
      <c r="B1" s="194"/>
      <c r="C1" s="194"/>
      <c r="D1" s="194"/>
      <c r="E1" s="194"/>
      <c r="F1" s="39"/>
    </row>
    <row r="2" spans="1:6" ht="21" customHeight="1" x14ac:dyDescent="0.2">
      <c r="A2" s="3" t="s">
        <v>52</v>
      </c>
      <c r="B2" s="197" t="str">
        <f>'Summary and sign-off'!B2:F2</f>
        <v>Sport NZ (Wgtn) &amp; Acting CE HPSNZ (Akld, from 23/4/21)</v>
      </c>
      <c r="C2" s="197"/>
      <c r="D2" s="197"/>
      <c r="E2" s="197"/>
      <c r="F2" s="39"/>
    </row>
    <row r="3" spans="1:6" ht="21" customHeight="1" x14ac:dyDescent="0.2">
      <c r="A3" s="3" t="s">
        <v>111</v>
      </c>
      <c r="B3" s="197" t="str">
        <f>'Summary and sign-off'!B3:F3</f>
        <v>Raelene Castle</v>
      </c>
      <c r="C3" s="197"/>
      <c r="D3" s="197"/>
      <c r="E3" s="197"/>
      <c r="F3" s="39"/>
    </row>
    <row r="4" spans="1:6" ht="21" customHeight="1" x14ac:dyDescent="0.2">
      <c r="A4" s="3" t="s">
        <v>112</v>
      </c>
      <c r="B4" s="197">
        <f>'Summary and sign-off'!B4:F4</f>
        <v>44180</v>
      </c>
      <c r="C4" s="197"/>
      <c r="D4" s="197"/>
      <c r="E4" s="197"/>
      <c r="F4" s="39"/>
    </row>
    <row r="5" spans="1:6" ht="21" customHeight="1" x14ac:dyDescent="0.2">
      <c r="A5" s="3" t="s">
        <v>113</v>
      </c>
      <c r="B5" s="197">
        <f>'Summary and sign-off'!B5:F5</f>
        <v>44377</v>
      </c>
      <c r="C5" s="197"/>
      <c r="D5" s="197"/>
      <c r="E5" s="197"/>
      <c r="F5" s="39"/>
    </row>
    <row r="6" spans="1:6" ht="21" customHeight="1" x14ac:dyDescent="0.2">
      <c r="A6" s="3" t="s">
        <v>114</v>
      </c>
      <c r="B6" s="192"/>
      <c r="C6" s="192"/>
      <c r="D6" s="192"/>
      <c r="E6" s="192"/>
      <c r="F6" s="39"/>
    </row>
    <row r="7" spans="1:6" ht="21" customHeight="1" x14ac:dyDescent="0.2">
      <c r="A7" s="3" t="s">
        <v>57</v>
      </c>
      <c r="B7" s="192"/>
      <c r="C7" s="192"/>
      <c r="D7" s="192"/>
      <c r="E7" s="192"/>
      <c r="F7" s="39"/>
    </row>
    <row r="8" spans="1:6" ht="35.25" customHeight="1" x14ac:dyDescent="0.25">
      <c r="A8" s="207" t="s">
        <v>155</v>
      </c>
      <c r="B8" s="207"/>
      <c r="C8" s="208"/>
      <c r="D8" s="208"/>
      <c r="E8" s="208"/>
      <c r="F8" s="43"/>
    </row>
    <row r="9" spans="1:6" ht="35.25" customHeight="1" x14ac:dyDescent="0.25">
      <c r="A9" s="205" t="s">
        <v>156</v>
      </c>
      <c r="B9" s="206"/>
      <c r="C9" s="206"/>
      <c r="D9" s="206"/>
      <c r="E9" s="206"/>
      <c r="F9" s="43"/>
    </row>
    <row r="10" spans="1:6" ht="27" customHeight="1" x14ac:dyDescent="0.2">
      <c r="A10" s="143" t="s">
        <v>157</v>
      </c>
      <c r="B10" s="36" t="s">
        <v>62</v>
      </c>
      <c r="C10" s="36" t="s">
        <v>158</v>
      </c>
      <c r="D10" s="36" t="s">
        <v>159</v>
      </c>
      <c r="E10" s="36" t="s">
        <v>122</v>
      </c>
      <c r="F10" s="24"/>
    </row>
    <row r="11" spans="1:6" s="86" customFormat="1" hidden="1" x14ac:dyDescent="0.2">
      <c r="A11" s="144"/>
      <c r="B11" s="105"/>
      <c r="C11" s="108"/>
      <c r="D11" s="108"/>
      <c r="E11" s="109"/>
      <c r="F11" s="1"/>
    </row>
    <row r="12" spans="1:6" s="148" customFormat="1" x14ac:dyDescent="0.2">
      <c r="A12" s="151">
        <v>44230</v>
      </c>
      <c r="B12" s="146">
        <v>29.61</v>
      </c>
      <c r="C12" s="152" t="s">
        <v>160</v>
      </c>
      <c r="D12" s="152" t="s">
        <v>161</v>
      </c>
      <c r="E12" s="153" t="s">
        <v>128</v>
      </c>
      <c r="F12" s="146"/>
    </row>
    <row r="13" spans="1:6" s="148" customFormat="1" x14ac:dyDescent="0.2">
      <c r="A13" s="151">
        <v>44239</v>
      </c>
      <c r="B13" s="146">
        <v>48.7</v>
      </c>
      <c r="C13" s="152" t="s">
        <v>211</v>
      </c>
      <c r="D13" s="152" t="s">
        <v>212</v>
      </c>
      <c r="E13" s="153" t="s">
        <v>127</v>
      </c>
      <c r="F13" s="146"/>
    </row>
    <row r="14" spans="1:6" s="148" customFormat="1" x14ac:dyDescent="0.2">
      <c r="A14" s="151">
        <v>44286</v>
      </c>
      <c r="B14" s="183">
        <v>53.47</v>
      </c>
      <c r="C14" s="141" t="s">
        <v>284</v>
      </c>
      <c r="D14" s="141" t="s">
        <v>289</v>
      </c>
      <c r="E14" s="142" t="s">
        <v>209</v>
      </c>
      <c r="F14" s="146"/>
    </row>
    <row r="15" spans="1:6" s="148" customFormat="1" x14ac:dyDescent="0.2">
      <c r="A15" s="151">
        <v>44299</v>
      </c>
      <c r="B15" s="146">
        <v>33.35</v>
      </c>
      <c r="C15" s="152" t="s">
        <v>232</v>
      </c>
      <c r="D15" s="152" t="s">
        <v>233</v>
      </c>
      <c r="E15" s="153" t="s">
        <v>128</v>
      </c>
      <c r="F15" s="146"/>
    </row>
    <row r="16" spans="1:6" s="148" customFormat="1" x14ac:dyDescent="0.2">
      <c r="A16" s="151">
        <v>44319</v>
      </c>
      <c r="B16" s="146">
        <v>42.44</v>
      </c>
      <c r="C16" s="152" t="s">
        <v>245</v>
      </c>
      <c r="D16" s="152" t="s">
        <v>251</v>
      </c>
      <c r="E16" s="153" t="s">
        <v>127</v>
      </c>
      <c r="F16" s="146"/>
    </row>
    <row r="17" spans="1:6" s="148" customFormat="1" x14ac:dyDescent="0.2">
      <c r="A17" s="151">
        <v>44328</v>
      </c>
      <c r="B17" s="146">
        <v>147.22999999999999</v>
      </c>
      <c r="C17" s="152" t="s">
        <v>253</v>
      </c>
      <c r="D17" s="152" t="s">
        <v>252</v>
      </c>
      <c r="E17" s="153" t="s">
        <v>127</v>
      </c>
      <c r="F17" s="146"/>
    </row>
    <row r="18" spans="1:6" s="148" customFormat="1" x14ac:dyDescent="0.2">
      <c r="A18" s="151">
        <v>44342</v>
      </c>
      <c r="B18" s="146">
        <v>274.07</v>
      </c>
      <c r="C18" s="152" t="s">
        <v>262</v>
      </c>
      <c r="D18" s="152" t="s">
        <v>261</v>
      </c>
      <c r="E18" s="153" t="s">
        <v>128</v>
      </c>
      <c r="F18" s="146"/>
    </row>
    <row r="19" spans="1:6" s="148" customFormat="1" x14ac:dyDescent="0.2">
      <c r="A19" s="151">
        <v>44365</v>
      </c>
      <c r="B19" s="146">
        <v>27.21</v>
      </c>
      <c r="C19" s="152" t="s">
        <v>263</v>
      </c>
      <c r="D19" s="152" t="s">
        <v>251</v>
      </c>
      <c r="E19" s="153" t="s">
        <v>127</v>
      </c>
      <c r="F19" s="154"/>
    </row>
    <row r="20" spans="1:6" s="148" customFormat="1" x14ac:dyDescent="0.2">
      <c r="A20" s="151"/>
      <c r="B20" s="146"/>
      <c r="C20" s="152"/>
      <c r="D20" s="152"/>
      <c r="E20" s="153"/>
      <c r="F20" s="154"/>
    </row>
    <row r="21" spans="1:6" s="148" customFormat="1" x14ac:dyDescent="0.2">
      <c r="A21" s="155"/>
      <c r="B21" s="146"/>
      <c r="C21" s="152"/>
      <c r="D21" s="152"/>
      <c r="E21" s="153"/>
      <c r="F21" s="154"/>
    </row>
    <row r="22" spans="1:6" s="86" customFormat="1" ht="11.25" hidden="1" customHeight="1" x14ac:dyDescent="0.2">
      <c r="A22" s="155"/>
      <c r="B22" s="146"/>
      <c r="C22" s="152"/>
      <c r="D22" s="152"/>
      <c r="E22" s="153"/>
      <c r="F22" s="1"/>
    </row>
    <row r="23" spans="1:6" ht="34.5" customHeight="1" x14ac:dyDescent="0.2">
      <c r="A23" s="185"/>
      <c r="B23" s="150"/>
      <c r="C23" s="152"/>
      <c r="D23" s="152"/>
      <c r="E23" s="153"/>
      <c r="F23" s="1"/>
    </row>
    <row r="24" spans="1:6" ht="15" x14ac:dyDescent="0.2">
      <c r="A24" s="87" t="s">
        <v>162</v>
      </c>
      <c r="B24" s="99">
        <f>SUM(B11:B23)</f>
        <v>656.07999999999993</v>
      </c>
      <c r="C24" s="113" t="str">
        <f>IF(SUBTOTAL(3,B11:B23)=SUBTOTAL(103,B11:B23),'Summary and sign-off'!$A$47,'Summary and sign-off'!$A$48)</f>
        <v>Check - there are no hidden rows with data</v>
      </c>
      <c r="D24" s="198" t="str">
        <f>IF('Summary and sign-off'!F57='Summary and sign-off'!F53,'Summary and sign-off'!A50,'Summary and sign-off'!A49)</f>
        <v>Check - each entry provides sufficient information</v>
      </c>
      <c r="E24" s="198"/>
      <c r="F24" s="39"/>
    </row>
    <row r="25" spans="1:6" x14ac:dyDescent="0.2">
      <c r="A25" s="22"/>
      <c r="B25" s="21"/>
      <c r="C25" s="21"/>
      <c r="D25" s="21"/>
      <c r="E25" s="21"/>
      <c r="F25" s="39"/>
    </row>
    <row r="26" spans="1:6" ht="12.75" customHeight="1" x14ac:dyDescent="0.2">
      <c r="A26" s="22" t="s">
        <v>73</v>
      </c>
      <c r="B26" s="23"/>
      <c r="C26" s="28"/>
      <c r="D26" s="21"/>
      <c r="E26" s="21"/>
      <c r="F26" s="39"/>
    </row>
    <row r="27" spans="1:6" x14ac:dyDescent="0.2">
      <c r="A27" s="24" t="s">
        <v>163</v>
      </c>
      <c r="B27" s="24"/>
      <c r="C27" s="24"/>
      <c r="D27" s="24"/>
      <c r="E27" s="24"/>
      <c r="F27" s="39"/>
    </row>
    <row r="28" spans="1:6" x14ac:dyDescent="0.2">
      <c r="A28" s="24" t="s">
        <v>164</v>
      </c>
      <c r="B28" s="32"/>
      <c r="C28" s="44"/>
      <c r="D28" s="45"/>
      <c r="E28" s="45"/>
      <c r="F28" s="28"/>
    </row>
    <row r="29" spans="1:6" x14ac:dyDescent="0.2">
      <c r="A29" s="24" t="s">
        <v>79</v>
      </c>
      <c r="B29" s="26"/>
      <c r="C29" s="27"/>
      <c r="D29" s="27"/>
      <c r="E29" s="27"/>
      <c r="F29" s="39"/>
    </row>
    <row r="30" spans="1:6" ht="12.75" customHeight="1" x14ac:dyDescent="0.2">
      <c r="A30" s="32" t="s">
        <v>165</v>
      </c>
      <c r="B30" s="32"/>
      <c r="C30" s="44"/>
      <c r="D30" s="44"/>
      <c r="E30" s="44"/>
      <c r="F30" s="39"/>
    </row>
    <row r="31" spans="1:6" x14ac:dyDescent="0.2">
      <c r="A31" s="32" t="s">
        <v>166</v>
      </c>
      <c r="B31" s="32"/>
      <c r="C31" s="46"/>
      <c r="D31" s="46"/>
      <c r="E31" s="34"/>
      <c r="F31" s="39"/>
    </row>
    <row r="32" spans="1:6" hidden="1" x14ac:dyDescent="0.2">
      <c r="A32" s="21"/>
      <c r="B32" s="21"/>
      <c r="C32" s="21"/>
      <c r="D32" s="21"/>
      <c r="E32" s="21"/>
    </row>
    <row r="33" s="16" customFormat="1" hidden="1" x14ac:dyDescent="0.2"/>
    <row r="34" s="16" customFormat="1" hidden="1" x14ac:dyDescent="0.2"/>
    <row r="35" s="16" customFormat="1" hidden="1" x14ac:dyDescent="0.2"/>
    <row r="36" s="16" customFormat="1" hidden="1" x14ac:dyDescent="0.2"/>
    <row r="37" s="16" customFormat="1" hidden="1" x14ac:dyDescent="0.2"/>
    <row r="38" s="16" customFormat="1" hidden="1" x14ac:dyDescent="0.2"/>
    <row r="39" s="16" customFormat="1" hidden="1" x14ac:dyDescent="0.2"/>
    <row r="40" s="16" customFormat="1" hidden="1" x14ac:dyDescent="0.2"/>
    <row r="41" s="16" customFormat="1" hidden="1" x14ac:dyDescent="0.2"/>
    <row r="42" s="16" customFormat="1" hidden="1" x14ac:dyDescent="0.2"/>
    <row r="43" s="16" customFormat="1" hidden="1" x14ac:dyDescent="0.2"/>
    <row r="44" s="16" customFormat="1" hidden="1" x14ac:dyDescent="0.2"/>
    <row r="45" s="16" customFormat="1" hidden="1" x14ac:dyDescent="0.2"/>
    <row r="46" s="16" customFormat="1" hidden="1" x14ac:dyDescent="0.2"/>
    <row r="47" s="16" customFormat="1" x14ac:dyDescent="0.2"/>
    <row r="48" s="16" customFormat="1" x14ac:dyDescent="0.2"/>
    <row r="49" s="16" customFormat="1" hidden="1" x14ac:dyDescent="0.2"/>
    <row r="50" s="16" customFormat="1" x14ac:dyDescent="0.2"/>
    <row r="51" s="16" customFormat="1" x14ac:dyDescent="0.2"/>
    <row r="52" s="16" customFormat="1" hidden="1" x14ac:dyDescent="0.2"/>
    <row r="53" s="16" customFormat="1" hidden="1" x14ac:dyDescent="0.2"/>
    <row r="54" s="16" customFormat="1" hidden="1" x14ac:dyDescent="0.2"/>
    <row r="55" s="16" customFormat="1" hidden="1" x14ac:dyDescent="0.2"/>
    <row r="56" s="16" customFormat="1" hidden="1" x14ac:dyDescent="0.2"/>
    <row r="57" s="16" customFormat="1" hidden="1" x14ac:dyDescent="0.2"/>
    <row r="58" s="16" customFormat="1" hidden="1"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B11:B13 B15:B23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94" t="s">
        <v>110</v>
      </c>
      <c r="B1" s="194"/>
      <c r="C1" s="194"/>
      <c r="D1" s="194"/>
      <c r="E1" s="194"/>
      <c r="F1" s="25"/>
    </row>
    <row r="2" spans="1:6" ht="21" customHeight="1" x14ac:dyDescent="0.2">
      <c r="A2" s="3" t="s">
        <v>52</v>
      </c>
      <c r="B2" s="197" t="str">
        <f>'Summary and sign-off'!B2:F2</f>
        <v>Sport NZ (Wgtn) &amp; Acting CE HPSNZ (Akld, from 23/4/21)</v>
      </c>
      <c r="C2" s="197"/>
      <c r="D2" s="197"/>
      <c r="E2" s="197"/>
      <c r="F2" s="25"/>
    </row>
    <row r="3" spans="1:6" ht="21" customHeight="1" x14ac:dyDescent="0.2">
      <c r="A3" s="3" t="s">
        <v>111</v>
      </c>
      <c r="B3" s="197" t="str">
        <f>'Summary and sign-off'!B3:F3</f>
        <v>Raelene Castle</v>
      </c>
      <c r="C3" s="197"/>
      <c r="D3" s="197"/>
      <c r="E3" s="197"/>
      <c r="F3" s="25"/>
    </row>
    <row r="4" spans="1:6" ht="21" customHeight="1" x14ac:dyDescent="0.2">
      <c r="A4" s="3" t="s">
        <v>112</v>
      </c>
      <c r="B4" s="197">
        <f>'Summary and sign-off'!B4:F4</f>
        <v>44180</v>
      </c>
      <c r="C4" s="197"/>
      <c r="D4" s="197"/>
      <c r="E4" s="197"/>
      <c r="F4" s="25"/>
    </row>
    <row r="5" spans="1:6" ht="21" customHeight="1" x14ac:dyDescent="0.2">
      <c r="A5" s="3" t="s">
        <v>113</v>
      </c>
      <c r="B5" s="197">
        <f>'Summary and sign-off'!B5:F5</f>
        <v>44377</v>
      </c>
      <c r="C5" s="197"/>
      <c r="D5" s="197"/>
      <c r="E5" s="197"/>
      <c r="F5" s="25"/>
    </row>
    <row r="6" spans="1:6" ht="21" customHeight="1" x14ac:dyDescent="0.2">
      <c r="A6" s="3" t="s">
        <v>114</v>
      </c>
      <c r="B6" s="192" t="s">
        <v>81</v>
      </c>
      <c r="C6" s="192"/>
      <c r="D6" s="192"/>
      <c r="E6" s="192"/>
      <c r="F6" s="35"/>
    </row>
    <row r="7" spans="1:6" ht="21" customHeight="1" x14ac:dyDescent="0.2">
      <c r="A7" s="3" t="s">
        <v>57</v>
      </c>
      <c r="B7" s="192" t="s">
        <v>83</v>
      </c>
      <c r="C7" s="192"/>
      <c r="D7" s="192"/>
      <c r="E7" s="192"/>
      <c r="F7" s="35"/>
    </row>
    <row r="8" spans="1:6" ht="35.25" customHeight="1" x14ac:dyDescent="0.2">
      <c r="A8" s="201" t="s">
        <v>167</v>
      </c>
      <c r="B8" s="201"/>
      <c r="C8" s="208"/>
      <c r="D8" s="208"/>
      <c r="E8" s="208"/>
      <c r="F8" s="25"/>
    </row>
    <row r="9" spans="1:6" ht="35.25" customHeight="1" x14ac:dyDescent="0.2">
      <c r="A9" s="209" t="s">
        <v>168</v>
      </c>
      <c r="B9" s="210"/>
      <c r="C9" s="210"/>
      <c r="D9" s="210"/>
      <c r="E9" s="210"/>
      <c r="F9" s="25"/>
    </row>
    <row r="10" spans="1:6" ht="27" customHeight="1" x14ac:dyDescent="0.2">
      <c r="A10" s="143" t="s">
        <v>118</v>
      </c>
      <c r="B10" s="36" t="s">
        <v>62</v>
      </c>
      <c r="C10" s="36" t="s">
        <v>169</v>
      </c>
      <c r="D10" s="36" t="s">
        <v>170</v>
      </c>
      <c r="E10" s="36" t="s">
        <v>122</v>
      </c>
      <c r="F10" s="37"/>
    </row>
    <row r="11" spans="1:6" s="86" customFormat="1" hidden="1" x14ac:dyDescent="0.2">
      <c r="A11" s="144"/>
      <c r="B11" s="105"/>
      <c r="C11" s="108"/>
      <c r="D11" s="108"/>
      <c r="E11" s="109"/>
      <c r="F11" s="2"/>
    </row>
    <row r="12" spans="1:6" s="86" customFormat="1" x14ac:dyDescent="0.2">
      <c r="A12" s="155" t="s">
        <v>269</v>
      </c>
      <c r="B12" s="146">
        <v>350</v>
      </c>
      <c r="C12" s="152" t="s">
        <v>270</v>
      </c>
      <c r="D12" s="152" t="s">
        <v>271</v>
      </c>
      <c r="E12" s="153"/>
      <c r="F12" s="2"/>
    </row>
    <row r="13" spans="1:6" s="86" customFormat="1" x14ac:dyDescent="0.2">
      <c r="A13" s="155"/>
      <c r="B13" s="146"/>
      <c r="C13" s="152"/>
      <c r="D13" s="152"/>
      <c r="E13" s="153"/>
      <c r="F13" s="2"/>
    </row>
    <row r="14" spans="1:6" s="148" customFormat="1" x14ac:dyDescent="0.2">
      <c r="A14" s="151"/>
      <c r="B14" s="146"/>
      <c r="C14" s="152"/>
      <c r="D14" s="152"/>
      <c r="E14" s="153"/>
      <c r="F14" s="156"/>
    </row>
    <row r="15" spans="1:6" s="148" customFormat="1" x14ac:dyDescent="0.2">
      <c r="A15" s="155"/>
      <c r="B15" s="146"/>
      <c r="C15" s="152"/>
      <c r="D15" s="152"/>
      <c r="E15" s="153"/>
      <c r="F15" s="156"/>
    </row>
    <row r="16" spans="1:6" s="148" customFormat="1" x14ac:dyDescent="0.2">
      <c r="A16" s="155"/>
      <c r="B16" s="146"/>
      <c r="C16" s="152"/>
      <c r="D16" s="152"/>
      <c r="E16" s="153"/>
      <c r="F16" s="156"/>
    </row>
    <row r="17" spans="1:6" s="86" customFormat="1" hidden="1" x14ac:dyDescent="0.2">
      <c r="A17" s="144"/>
      <c r="B17" s="105"/>
      <c r="C17" s="108"/>
      <c r="D17" s="108"/>
      <c r="E17" s="109"/>
      <c r="F17" s="2"/>
    </row>
    <row r="18" spans="1:6" ht="34.5" customHeight="1" x14ac:dyDescent="0.2">
      <c r="A18" s="145" t="s">
        <v>171</v>
      </c>
      <c r="B18" s="99">
        <f>SUM(B11:B17)</f>
        <v>350</v>
      </c>
      <c r="C18" s="113" t="str">
        <f>IF(SUBTOTAL(3,B11:B17)=SUBTOTAL(103,B11:B17),'Summary and sign-off'!$A$47,'Summary and sign-off'!$A$48)</f>
        <v>Check - there are no hidden rows with data</v>
      </c>
      <c r="D18" s="198" t="str">
        <f>IF('Summary and sign-off'!F58='Summary and sign-off'!F53,'Summary and sign-off'!A50,'Summary and sign-off'!A49)</f>
        <v>Check - each entry provides sufficient information</v>
      </c>
      <c r="E18" s="198"/>
      <c r="F18" s="38"/>
    </row>
    <row r="19" spans="1:6" ht="14.1" customHeight="1" x14ac:dyDescent="0.2">
      <c r="A19" s="39"/>
      <c r="B19" s="28"/>
      <c r="C19" s="21"/>
      <c r="D19" s="21"/>
      <c r="E19" s="21"/>
      <c r="F19" s="25"/>
    </row>
    <row r="20" spans="1:6" x14ac:dyDescent="0.2">
      <c r="A20" s="22" t="s">
        <v>172</v>
      </c>
      <c r="B20" s="21"/>
      <c r="C20" s="21"/>
      <c r="D20" s="21"/>
      <c r="E20" s="21"/>
      <c r="F20" s="25"/>
    </row>
    <row r="21" spans="1:6" ht="12.6" customHeight="1" x14ac:dyDescent="0.2">
      <c r="A21" s="24" t="s">
        <v>149</v>
      </c>
      <c r="B21" s="21"/>
      <c r="C21" s="21"/>
      <c r="D21" s="21"/>
      <c r="E21" s="21"/>
      <c r="F21" s="25"/>
    </row>
    <row r="22" spans="1:6" x14ac:dyDescent="0.2">
      <c r="A22" s="24" t="s">
        <v>79</v>
      </c>
      <c r="B22" s="26"/>
      <c r="C22" s="27"/>
      <c r="D22" s="27"/>
      <c r="E22" s="27"/>
      <c r="F22" s="28"/>
    </row>
    <row r="23" spans="1:6" x14ac:dyDescent="0.2">
      <c r="A23" s="32" t="s">
        <v>165</v>
      </c>
      <c r="B23" s="33"/>
      <c r="C23" s="28"/>
      <c r="D23" s="28"/>
      <c r="E23" s="28"/>
      <c r="F23" s="28"/>
    </row>
    <row r="24" spans="1:6" ht="12.75" customHeight="1" x14ac:dyDescent="0.2">
      <c r="A24" s="32" t="s">
        <v>166</v>
      </c>
      <c r="B24" s="40"/>
      <c r="C24" s="34"/>
      <c r="D24" s="34"/>
      <c r="E24" s="34"/>
      <c r="F24" s="34"/>
    </row>
    <row r="25" spans="1:6" x14ac:dyDescent="0.2">
      <c r="A25" s="39"/>
      <c r="B25" s="41"/>
      <c r="C25" s="21"/>
      <c r="D25" s="21"/>
      <c r="E25" s="21"/>
      <c r="F25" s="39"/>
    </row>
    <row r="26" spans="1:6" hidden="1" x14ac:dyDescent="0.2">
      <c r="A26" s="21"/>
      <c r="B26" s="21"/>
      <c r="C26" s="21"/>
      <c r="D26" s="21"/>
      <c r="E26" s="39"/>
    </row>
    <row r="27" spans="1:6" ht="12.75" hidden="1" customHeight="1" x14ac:dyDescent="0.2"/>
    <row r="28" spans="1:6" hidden="1" x14ac:dyDescent="0.2">
      <c r="A28" s="42"/>
      <c r="B28" s="42"/>
      <c r="C28" s="42"/>
      <c r="D28" s="42"/>
      <c r="E28" s="42"/>
      <c r="F28" s="25"/>
    </row>
    <row r="29" spans="1:6" hidden="1" x14ac:dyDescent="0.2">
      <c r="A29" s="42"/>
      <c r="B29" s="42"/>
      <c r="C29" s="42"/>
      <c r="D29" s="42"/>
      <c r="E29" s="42"/>
      <c r="F29" s="25"/>
    </row>
    <row r="30" spans="1:6" hidden="1" x14ac:dyDescent="0.2">
      <c r="A30" s="42"/>
      <c r="B30" s="42"/>
      <c r="C30" s="42"/>
      <c r="D30" s="42"/>
      <c r="E30" s="42"/>
      <c r="F30" s="25"/>
    </row>
    <row r="31" spans="1:6" hidden="1" x14ac:dyDescent="0.2">
      <c r="A31" s="42"/>
      <c r="B31" s="42"/>
      <c r="C31" s="42"/>
      <c r="D31" s="42"/>
      <c r="E31" s="42"/>
      <c r="F31" s="25"/>
    </row>
    <row r="32" spans="1:6" hidden="1" x14ac:dyDescent="0.2">
      <c r="A32" s="42"/>
      <c r="B32" s="42"/>
      <c r="C32" s="42"/>
      <c r="D32" s="42"/>
      <c r="E32" s="42"/>
      <c r="F32" s="25"/>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xWindow="150" yWindow="801"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6" fitToHeight="0" orientation="portrait"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0" yWindow="8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B7:E7</xm:sqref>
        </x14:dataValidation>
        <x14:dataValidation type="decimal" operator="greaterThan" allowBlank="1" showInputMessage="1" showErrorMessage="1" error="This cell must contain a dollar figure" xr:uid="{00000000-0002-0000-0500-000004000000}">
          <x14:formula1>
            <xm:f>'Summary and sign-off'!$A$46</xm:f>
          </x14:formula1>
          <xm:sqref>B11:B17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J85"/>
  <sheetViews>
    <sheetView topLeftCell="A4" zoomScale="94" zoomScaleNormal="163" workbookViewId="0">
      <selection activeCell="D15" sqref="D15"/>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94" t="s">
        <v>173</v>
      </c>
      <c r="B1" s="194"/>
      <c r="C1" s="194"/>
      <c r="D1" s="194"/>
      <c r="E1" s="194"/>
      <c r="F1" s="194"/>
    </row>
    <row r="2" spans="1:6" ht="21" customHeight="1" x14ac:dyDescent="0.2">
      <c r="A2" s="3" t="s">
        <v>52</v>
      </c>
      <c r="B2" s="197" t="str">
        <f>'Summary and sign-off'!B2:F2</f>
        <v>Sport NZ (Wgtn) &amp; Acting CE HPSNZ (Akld, from 23/4/21)</v>
      </c>
      <c r="C2" s="197"/>
      <c r="D2" s="197"/>
      <c r="E2" s="197"/>
      <c r="F2" s="197"/>
    </row>
    <row r="3" spans="1:6" ht="21" customHeight="1" x14ac:dyDescent="0.2">
      <c r="A3" s="3" t="s">
        <v>111</v>
      </c>
      <c r="B3" s="197" t="str">
        <f>'Summary and sign-off'!B3:F3</f>
        <v>Raelene Castle</v>
      </c>
      <c r="C3" s="197"/>
      <c r="D3" s="197"/>
      <c r="E3" s="197"/>
      <c r="F3" s="197"/>
    </row>
    <row r="4" spans="1:6" ht="21" customHeight="1" x14ac:dyDescent="0.2">
      <c r="A4" s="3" t="s">
        <v>112</v>
      </c>
      <c r="B4" s="197">
        <f>'Summary and sign-off'!B4:F4</f>
        <v>44180</v>
      </c>
      <c r="C4" s="197"/>
      <c r="D4" s="197"/>
      <c r="E4" s="197"/>
      <c r="F4" s="197"/>
    </row>
    <row r="5" spans="1:6" ht="21" customHeight="1" x14ac:dyDescent="0.2">
      <c r="A5" s="3" t="s">
        <v>113</v>
      </c>
      <c r="B5" s="197">
        <f>'Summary and sign-off'!B5:F5</f>
        <v>44377</v>
      </c>
      <c r="C5" s="197"/>
      <c r="D5" s="197"/>
      <c r="E5" s="197"/>
      <c r="F5" s="197"/>
    </row>
    <row r="6" spans="1:6" ht="21" customHeight="1" x14ac:dyDescent="0.2">
      <c r="A6" s="3" t="s">
        <v>174</v>
      </c>
      <c r="B6" s="192" t="s">
        <v>81</v>
      </c>
      <c r="C6" s="192"/>
      <c r="D6" s="192"/>
      <c r="E6" s="192"/>
      <c r="F6" s="192"/>
    </row>
    <row r="7" spans="1:6" ht="21" customHeight="1" x14ac:dyDescent="0.2">
      <c r="A7" s="3" t="s">
        <v>57</v>
      </c>
      <c r="B7" s="192" t="s">
        <v>83</v>
      </c>
      <c r="C7" s="192"/>
      <c r="D7" s="192"/>
      <c r="E7" s="192"/>
      <c r="F7" s="192"/>
    </row>
    <row r="8" spans="1:6" ht="36" customHeight="1" x14ac:dyDescent="0.2">
      <c r="A8" s="201" t="s">
        <v>175</v>
      </c>
      <c r="B8" s="201"/>
      <c r="C8" s="201"/>
      <c r="D8" s="201"/>
      <c r="E8" s="201"/>
      <c r="F8" s="201"/>
    </row>
    <row r="9" spans="1:6" ht="36" customHeight="1" x14ac:dyDescent="0.2">
      <c r="A9" s="209" t="s">
        <v>176</v>
      </c>
      <c r="B9" s="210"/>
      <c r="C9" s="210"/>
      <c r="D9" s="210"/>
      <c r="E9" s="210"/>
      <c r="F9" s="210"/>
    </row>
    <row r="10" spans="1:6" ht="39" customHeight="1" x14ac:dyDescent="0.2">
      <c r="A10" s="17" t="s">
        <v>118</v>
      </c>
      <c r="B10" s="8" t="s">
        <v>177</v>
      </c>
      <c r="C10" s="8" t="s">
        <v>178</v>
      </c>
      <c r="D10" s="8" t="s">
        <v>179</v>
      </c>
      <c r="E10" s="8" t="s">
        <v>180</v>
      </c>
      <c r="F10" s="8" t="s">
        <v>181</v>
      </c>
    </row>
    <row r="11" spans="1:6" s="86" customFormat="1" hidden="1" x14ac:dyDescent="0.2">
      <c r="A11" s="106"/>
      <c r="B11" s="108"/>
      <c r="C11" s="112"/>
      <c r="D11" s="108"/>
      <c r="E11" s="110"/>
      <c r="F11" s="109"/>
    </row>
    <row r="12" spans="1:6" s="86" customFormat="1" x14ac:dyDescent="0.2">
      <c r="A12" s="190">
        <v>44224</v>
      </c>
      <c r="B12" s="152" t="s">
        <v>301</v>
      </c>
      <c r="C12" s="158" t="s">
        <v>97</v>
      </c>
      <c r="D12" s="152" t="s">
        <v>182</v>
      </c>
      <c r="E12" s="159" t="s">
        <v>92</v>
      </c>
      <c r="F12" s="153"/>
    </row>
    <row r="13" spans="1:6" s="148" customFormat="1" x14ac:dyDescent="0.2">
      <c r="A13" s="149">
        <v>44228</v>
      </c>
      <c r="B13" s="157" t="s">
        <v>295</v>
      </c>
      <c r="C13" s="158" t="s">
        <v>97</v>
      </c>
      <c r="D13" s="157" t="s">
        <v>285</v>
      </c>
      <c r="E13" s="159" t="s">
        <v>93</v>
      </c>
      <c r="F13" s="160" t="s">
        <v>272</v>
      </c>
    </row>
    <row r="14" spans="1:6" s="148" customFormat="1" x14ac:dyDescent="0.2">
      <c r="A14" s="149">
        <v>44248</v>
      </c>
      <c r="B14" s="157" t="s">
        <v>183</v>
      </c>
      <c r="C14" s="158" t="s">
        <v>97</v>
      </c>
      <c r="D14" s="157" t="s">
        <v>184</v>
      </c>
      <c r="E14" s="159" t="s">
        <v>93</v>
      </c>
      <c r="F14" s="160" t="s">
        <v>316</v>
      </c>
    </row>
    <row r="15" spans="1:6" s="148" customFormat="1" x14ac:dyDescent="0.2">
      <c r="A15" s="149">
        <v>44255</v>
      </c>
      <c r="B15" s="157" t="s">
        <v>185</v>
      </c>
      <c r="C15" s="158" t="s">
        <v>97</v>
      </c>
      <c r="D15" s="157" t="s">
        <v>186</v>
      </c>
      <c r="E15" s="159" t="s">
        <v>92</v>
      </c>
      <c r="F15" s="160" t="s">
        <v>316</v>
      </c>
    </row>
    <row r="16" spans="1:6" s="148" customFormat="1" x14ac:dyDescent="0.2">
      <c r="A16" s="149">
        <v>44261</v>
      </c>
      <c r="B16" s="157" t="s">
        <v>187</v>
      </c>
      <c r="C16" s="158" t="s">
        <v>97</v>
      </c>
      <c r="D16" s="157" t="s">
        <v>188</v>
      </c>
      <c r="E16" s="159" t="s">
        <v>92</v>
      </c>
      <c r="F16" s="160" t="s">
        <v>189</v>
      </c>
    </row>
    <row r="17" spans="1:7" s="148" customFormat="1" ht="25.5" x14ac:dyDescent="0.2">
      <c r="A17" s="149">
        <v>44262</v>
      </c>
      <c r="B17" s="157" t="s">
        <v>190</v>
      </c>
      <c r="C17" s="158" t="s">
        <v>97</v>
      </c>
      <c r="D17" s="157" t="s">
        <v>204</v>
      </c>
      <c r="E17" s="159">
        <v>100</v>
      </c>
      <c r="F17" s="160" t="s">
        <v>189</v>
      </c>
    </row>
    <row r="18" spans="1:7" s="148" customFormat="1" x14ac:dyDescent="0.2">
      <c r="A18" s="149">
        <v>44283</v>
      </c>
      <c r="B18" s="157" t="s">
        <v>203</v>
      </c>
      <c r="C18" s="158" t="s">
        <v>98</v>
      </c>
      <c r="D18" s="157" t="s">
        <v>204</v>
      </c>
      <c r="E18" s="159">
        <v>100</v>
      </c>
      <c r="F18" s="160"/>
    </row>
    <row r="19" spans="1:7" s="148" customFormat="1" x14ac:dyDescent="0.2">
      <c r="A19" s="149">
        <v>44326</v>
      </c>
      <c r="B19" s="157" t="s">
        <v>290</v>
      </c>
      <c r="C19" s="158" t="s">
        <v>97</v>
      </c>
      <c r="D19" s="157" t="s">
        <v>188</v>
      </c>
      <c r="E19" s="159" t="s">
        <v>92</v>
      </c>
      <c r="F19" s="160"/>
    </row>
    <row r="20" spans="1:7" s="148" customFormat="1" x14ac:dyDescent="0.2">
      <c r="A20" s="149">
        <v>44346</v>
      </c>
      <c r="B20" s="157" t="s">
        <v>291</v>
      </c>
      <c r="C20" s="158" t="s">
        <v>97</v>
      </c>
      <c r="D20" s="157" t="s">
        <v>292</v>
      </c>
      <c r="E20" s="159" t="s">
        <v>92</v>
      </c>
      <c r="F20" s="160"/>
    </row>
    <row r="21" spans="1:7" s="148" customFormat="1" x14ac:dyDescent="0.2">
      <c r="A21" s="149">
        <v>44346</v>
      </c>
      <c r="B21" s="157" t="s">
        <v>293</v>
      </c>
      <c r="C21" s="158" t="s">
        <v>98</v>
      </c>
      <c r="D21" s="157" t="s">
        <v>294</v>
      </c>
      <c r="E21" s="159" t="s">
        <v>92</v>
      </c>
      <c r="F21" s="160"/>
    </row>
    <row r="22" spans="1:7" s="148" customFormat="1" x14ac:dyDescent="0.2">
      <c r="A22" s="149"/>
      <c r="B22" s="157"/>
      <c r="C22" s="158"/>
      <c r="D22" s="157"/>
      <c r="E22" s="159"/>
      <c r="F22" s="160"/>
    </row>
    <row r="23" spans="1:7" s="148" customFormat="1" x14ac:dyDescent="0.2">
      <c r="A23" s="149"/>
      <c r="B23" s="157"/>
      <c r="C23" s="158"/>
      <c r="D23" s="157"/>
      <c r="E23" s="159"/>
      <c r="F23" s="160"/>
    </row>
    <row r="24" spans="1:7" s="148" customFormat="1" x14ac:dyDescent="0.2">
      <c r="A24" s="149"/>
      <c r="B24" s="157"/>
      <c r="C24" s="158"/>
      <c r="D24" s="157"/>
      <c r="E24" s="159"/>
      <c r="F24" s="160"/>
    </row>
    <row r="25" spans="1:7" s="86" customFormat="1" hidden="1" x14ac:dyDescent="0.2">
      <c r="A25" s="106"/>
      <c r="B25" s="108"/>
      <c r="C25" s="112"/>
      <c r="D25" s="108"/>
      <c r="E25" s="110"/>
      <c r="F25" s="109"/>
    </row>
    <row r="26" spans="1:7" ht="34.5" customHeight="1" x14ac:dyDescent="0.2">
      <c r="A26" s="88" t="s">
        <v>191</v>
      </c>
      <c r="B26" s="89" t="s">
        <v>192</v>
      </c>
      <c r="C26" s="90">
        <f>C27+C28</f>
        <v>10</v>
      </c>
      <c r="D26" s="116" t="str">
        <f>IF(SUBTOTAL(3,C11:C25)=SUBTOTAL(103,C11:C25),'Summary and sign-off'!$A$47,'Summary and sign-off'!$A$48)</f>
        <v>Check - there are no hidden rows with data</v>
      </c>
      <c r="E26" s="211" t="str">
        <f>IF('Summary and sign-off'!F59='Summary and sign-off'!F53,'Summary and sign-off'!A51,'Summary and sign-off'!A49)</f>
        <v>Check - each entry provides sufficient information</v>
      </c>
      <c r="F26" s="211"/>
      <c r="G26" s="86"/>
    </row>
    <row r="27" spans="1:7" ht="25.5" customHeight="1" x14ac:dyDescent="0.25">
      <c r="A27" s="91"/>
      <c r="B27" s="92" t="s">
        <v>97</v>
      </c>
      <c r="C27" s="93">
        <f>COUNTIF(C11:C25,'Summary and sign-off'!A44)</f>
        <v>8</v>
      </c>
      <c r="D27" s="18"/>
      <c r="E27" s="19"/>
      <c r="F27" s="20"/>
    </row>
    <row r="28" spans="1:7" ht="25.5" customHeight="1" x14ac:dyDescent="0.25">
      <c r="A28" s="91"/>
      <c r="B28" s="92" t="s">
        <v>98</v>
      </c>
      <c r="C28" s="93">
        <f>COUNTIF(C11:C25,'Summary and sign-off'!A45)</f>
        <v>2</v>
      </c>
      <c r="D28" s="18"/>
      <c r="E28" s="19"/>
      <c r="F28" s="20"/>
    </row>
    <row r="29" spans="1:7" x14ac:dyDescent="0.2">
      <c r="A29" s="21"/>
      <c r="B29" s="22"/>
      <c r="C29" s="21"/>
      <c r="D29" s="23"/>
      <c r="E29" s="23"/>
      <c r="F29" s="21"/>
    </row>
    <row r="30" spans="1:7" x14ac:dyDescent="0.2">
      <c r="A30" s="22" t="s">
        <v>172</v>
      </c>
      <c r="B30" s="22"/>
      <c r="C30" s="22"/>
      <c r="D30" s="22"/>
      <c r="E30" s="22"/>
      <c r="F30" s="22"/>
    </row>
    <row r="31" spans="1:7" ht="12.6" customHeight="1" x14ac:dyDescent="0.2">
      <c r="A31" s="24" t="s">
        <v>149</v>
      </c>
      <c r="B31" s="21"/>
      <c r="C31" s="21"/>
      <c r="D31" s="21"/>
      <c r="E31" s="21"/>
      <c r="F31" s="25"/>
    </row>
    <row r="32" spans="1:7" x14ac:dyDescent="0.2">
      <c r="A32" s="24" t="s">
        <v>79</v>
      </c>
      <c r="B32" s="26"/>
      <c r="C32" s="27"/>
      <c r="D32" s="27"/>
      <c r="E32" s="27"/>
      <c r="F32" s="28"/>
    </row>
    <row r="33" spans="1:6" x14ac:dyDescent="0.2">
      <c r="A33" s="24" t="s">
        <v>193</v>
      </c>
      <c r="B33" s="29"/>
      <c r="C33" s="29"/>
      <c r="D33" s="29"/>
      <c r="E33" s="29"/>
      <c r="F33" s="29"/>
    </row>
    <row r="34" spans="1:6" ht="12.75" customHeight="1" x14ac:dyDescent="0.2">
      <c r="A34" s="24" t="s">
        <v>194</v>
      </c>
      <c r="B34" s="21"/>
      <c r="C34" s="21"/>
      <c r="D34" s="21"/>
      <c r="E34" s="21"/>
      <c r="F34" s="21"/>
    </row>
    <row r="35" spans="1:6" ht="12.95" customHeight="1" x14ac:dyDescent="0.2">
      <c r="A35" s="30" t="s">
        <v>195</v>
      </c>
      <c r="B35" s="31"/>
      <c r="C35" s="31"/>
      <c r="D35" s="31"/>
      <c r="E35" s="31"/>
      <c r="F35" s="31"/>
    </row>
    <row r="36" spans="1:6" x14ac:dyDescent="0.2">
      <c r="A36" s="32" t="s">
        <v>196</v>
      </c>
      <c r="B36" s="33"/>
      <c r="C36" s="28"/>
      <c r="D36" s="28"/>
      <c r="E36" s="28"/>
      <c r="F36" s="28"/>
    </row>
    <row r="37" spans="1:6" ht="12.75" customHeight="1" x14ac:dyDescent="0.2">
      <c r="A37" s="32" t="s">
        <v>166</v>
      </c>
      <c r="B37" s="24"/>
      <c r="C37" s="34"/>
      <c r="D37" s="34"/>
      <c r="E37" s="34"/>
      <c r="F37" s="34"/>
    </row>
    <row r="38" spans="1:6" ht="12.75" customHeight="1" x14ac:dyDescent="0.2">
      <c r="A38" s="24"/>
      <c r="B38" s="24"/>
      <c r="C38" s="34"/>
      <c r="D38" s="34"/>
      <c r="E38" s="34"/>
      <c r="F38" s="34"/>
    </row>
    <row r="39" spans="1:6" ht="12.75" hidden="1" customHeight="1" x14ac:dyDescent="0.2">
      <c r="A39" s="24"/>
      <c r="B39" s="24"/>
      <c r="C39" s="34"/>
      <c r="D39" s="34"/>
      <c r="E39" s="34"/>
      <c r="F39" s="34"/>
    </row>
    <row r="42" spans="1:6" hidden="1" x14ac:dyDescent="0.2">
      <c r="A42" s="22"/>
      <c r="B42" s="22"/>
      <c r="C42" s="22"/>
      <c r="D42" s="22"/>
      <c r="E42" s="22"/>
      <c r="F42" s="22"/>
    </row>
    <row r="43" spans="1:6" hidden="1" x14ac:dyDescent="0.2">
      <c r="A43" s="22"/>
      <c r="B43" s="22"/>
      <c r="C43" s="22"/>
      <c r="D43" s="22"/>
      <c r="E43" s="22"/>
      <c r="F43" s="22"/>
    </row>
    <row r="44" spans="1:6" hidden="1" x14ac:dyDescent="0.2">
      <c r="A44" s="22"/>
      <c r="B44" s="22"/>
      <c r="C44" s="22"/>
      <c r="D44" s="22"/>
      <c r="E44" s="22"/>
      <c r="F44" s="22"/>
    </row>
    <row r="45" spans="1:6" hidden="1" x14ac:dyDescent="0.2">
      <c r="A45" s="22"/>
      <c r="B45" s="22"/>
      <c r="C45" s="22"/>
      <c r="D45" s="22"/>
      <c r="E45" s="22"/>
      <c r="F45" s="22"/>
    </row>
    <row r="46" spans="1:6" hidden="1" x14ac:dyDescent="0.2">
      <c r="A46" s="22"/>
      <c r="B46" s="22"/>
      <c r="C46" s="22"/>
      <c r="D46" s="22"/>
      <c r="E46" s="22"/>
      <c r="F46" s="22"/>
    </row>
    <row r="47" spans="1:6" x14ac:dyDescent="0.2"/>
    <row r="48" spans="1:6" x14ac:dyDescent="0.2"/>
    <row r="49" x14ac:dyDescent="0.2"/>
    <row r="50" x14ac:dyDescent="0.2"/>
    <row r="51" x14ac:dyDescent="0.2"/>
    <row r="63" x14ac:dyDescent="0.2"/>
    <row r="64"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sheetProtection sheet="1" formatCells="0" insertRows="0" deleteRows="0"/>
  <mergeCells count="10">
    <mergeCell ref="E26:F26"/>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6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6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44" fitToHeight="0" orientation="portrait"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6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600-000003000000}">
          <x14:formula1>
            <xm:f>'Summary and sign-off'!$A$29:$A$30</xm:f>
          </x14:formula1>
          <xm:sqref>B7:F7</xm:sqref>
        </x14:dataValidation>
        <x14:dataValidation type="list" allowBlank="1" showInputMessage="1" showErrorMessage="1" error="Use the drop down list (at the right of the cell)" xr:uid="{00000000-0002-0000-0600-000004000000}">
          <x14:formula1>
            <xm:f>'Summary and sign-off'!$A$44:$A$45</xm:f>
          </x14:formula1>
          <xm:sqref>C11:C25</xm:sqref>
        </x14:dataValidation>
        <x14:dataValidation type="list" errorStyle="information" operator="greaterThan" allowBlank="1" showInputMessage="1" prompt="Provide specific $ value if possible" xr:uid="{00000000-0002-0000-0600-000005000000}">
          <x14:formula1>
            <xm:f>'Summary and sign-off'!$A$38:$A$43</xm:f>
          </x14:formula1>
          <xm:sqref>E11:E25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unction xmlns="4f9c820c-e7e2-444d-97ee-45f2b3485c1d">Governance</Function>
    <Project xmlns="4f9c820c-e7e2-444d-97ee-45f2b3485c1d">NA</Project>
    <Administrative xmlns="cb59e981-3bc6-4f52-8729-00103bb11721" xsi:nil="true"/>
    <CategoryValue xmlns="4f9c820c-e7e2-444d-97ee-45f2b3485c1d">NA</CategoryValue>
    <DocumentType xmlns="4f9c820c-e7e2-444d-97ee-45f2b3485c1d">Template, Checklist or Form</DocumentType>
    <Activity xmlns="4f9c820c-e7e2-444d-97ee-45f2b3485c1d">Management and Governance</Activity>
    <FunctionGroup xmlns="4f9c820c-e7e2-444d-97ee-45f2b3485c1d">Sport New Zealand</FunctionGroup>
    <Narrative xmlns="4f9c820c-e7e2-444d-97ee-45f2b3485c1d" xsi:nil="true"/>
    <CategoryName xmlns="4f9c820c-e7e2-444d-97ee-45f2b3485c1d">NA</CategoryName>
    <Case xmlns="4f9c820c-e7e2-444d-97ee-45f2b3485c1d">Sport NZ</Case>
    <Subactivity xmlns="4f9c820c-e7e2-444d-97ee-45f2b3485c1d">Reporting</Subactivity>
    <RecordID xmlns="acb26242-dc21-4420-965a-f5c1d8109808">1214449</RecordID>
    <PRADateDisposal xmlns="4f9c820c-e7e2-444d-97ee-45f2b3485c1d" xsi:nil="true"/>
    <BusinessValue xmlns="4f9c820c-e7e2-444d-97ee-45f2b3485c1d" xsi:nil="true"/>
    <zLegacy xmlns="acb26242-dc21-4420-965a-f5c1d8109808">FileLeafRef: CE-Expense-Disclosure-Workbook -  Dec 2020_21 RC.xlsx
File_x0020_Type: xlsx
Title: Updated CE Expense Disclosure Workbook and Guide
KnowHowType: NA
TargetAudience: Internal
PRAType: Doc
AggregationStatus: Normal
RecordID: 1214449
RecordType: Normal
ReadOnlyStatus: Open
AuthoritativeVersion: False
PraText1: Low
FunctionGroup: NA
Function: Management and Governance
Activity: Reporting
Subactivity: SSC CE Expenses
Project: NA
Case: NA
DocumentType: Template, form
CategoryName: NA
CategoryValue: NA
Volume: NA
Entity: Sport NZ
Financial_x0020_Year: 2020-2021
ID: 816
Created: 18-Dec-2018 14:29:52 p.m.
Author: paular (Paula Ryan)
Modified: 16-Dec-2020 13:54:54 p.m.
Editor: paular (Paula Ryan)
File_x0020_Size: 88726
_CheckinComment: 
_Level: 2
_IsCurrentVersion: True
VersionLabel: 0.4
VersionLevel: Draft
Legacy_FullDocumentPath: http://kc.sportnzgroup.org.nz/site/mgmtgov/Report/CE-Expense-Disclosure-Workbook -  Dec 2020_21 RC.xlsx
</zLegacy>
    <KeyWords xmlns="15ffb055-6eb4-45a1-bc20-bf2ac0d420da" xsi:nil="true"/>
    <SecurityClassification xmlns="15ffb055-6eb4-45a1-bc20-bf2ac0d420da" xsi:nil="true"/>
    <PartnerType xmlns="acb26242-dc21-4420-965a-f5c1d8109808" xsi:nil="true"/>
    <ILDate xmlns="cb59e981-3bc6-4f52-8729-00103bb11721" xsi:nil="true"/>
    <PRADate3 xmlns="4f9c820c-e7e2-444d-97ee-45f2b3485c1d" xsi:nil="true"/>
    <PRAText5 xmlns="4f9c820c-e7e2-444d-97ee-45f2b3485c1d" xsi:nil="true"/>
    <Level2 xmlns="c91a514c-9034-4fa3-897a-8352025b26ed">NA</Level2>
    <AggregationStatus xmlns="4f9c820c-e7e2-444d-97ee-45f2b3485c1d">Normal</AggregationStatus>
    <PRADate2 xmlns="4f9c820c-e7e2-444d-97ee-45f2b3485c1d" xsi:nil="true"/>
    <fbbc46e6080f4043b8eb3439e6385fb0 xmlns="cb59e981-3bc6-4f52-8729-00103bb11721">
      <Terms xmlns="http://schemas.microsoft.com/office/infopath/2007/PartnerControls"/>
    </fbbc46e6080f4043b8eb3439e6385fb0>
    <PRAText1 xmlns="4f9c820c-e7e2-444d-97ee-45f2b3485c1d">Low</PRAText1>
    <PRAText4 xmlns="4f9c820c-e7e2-444d-97ee-45f2b3485c1d" xsi:nil="true"/>
    <Level3 xmlns="c91a514c-9034-4fa3-897a-8352025b26ed" xsi:nil="true"/>
    <ReadOnlyStatus xmlns="cb59e981-3bc6-4f52-8729-00103bb11721">Open</ReadOnlyStatus>
    <Team xmlns="c91a514c-9034-4fa3-897a-8352025b26ed">NA</Team>
    <zMigrationID xmlns="acb26242-dc21-4420-965a-f5c1d8109808">cec401a3-4360-450c-a1ce-1ef21b7c8adb</zMigrationID>
    <e3343728b5c74b3d8fb6c70eb949629a xmlns="cb59e981-3bc6-4f52-8729-00103bb11721">
      <Terms xmlns="http://schemas.microsoft.com/office/infopath/2007/PartnerControls"/>
    </e3343728b5c74b3d8fb6c70eb949629a>
    <zLegacyJSON xmlns="acb26242-dc21-4420-965a-f5c1d8109808">{"FileLeafRef":"CE-Expense-Disclosure-Workbook -  Dec 2020_21 RC.xlsx","File_x0020_Type":"xlsx","Title":"Updated CE Expense Disclosure Workbook and Guide","KnowHowType":"NA","TargetAudience":"Internal","PRAType":"Doc","AggregationStatus":"Normal","RecordID":"1214449","RecordType":"Normal","ReadOnlyStatus":"Open","AuthoritativeVersion":false,"PraText1":"Low","FunctionGroup":"NA","Function":"Management and Governance","Activity":"Reporting","Subactivity":"SSC CE Expenses","Project":"NA","Case":"NA","DocumentType":"Template, form","CategoryName":"NA","CategoryValue":"NA","Volume":"NA","Entity":"Sport NZ","Financial_x0020_Year":"2020-2021","ID":816,"Created":"18-Dec-2018 14:29:52 p.m.","Author":"paular (Paula Ryan)","Modified":"16-Dec-2020 13:54:54 p.m.","Editor":"paular (Paula Ryan)","File_x0020_Size":"88726","_CheckinComment":"","_Level":2,"_IsCurrentVersion":true,"VersionLabel":"0.4","VersionLevel":"Draft","VersionCheckInComment":null,"Legacy_DocumentFolderPath":null,"Legacy_FullDocumentPath":"http://kc.sportnzgroup.org.nz/site/mgmtgov/Report/CE-Expense-Disclosure-Workbook -  Dec 2020_21 RC.xlsx"}</zLegacyJS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TaxCatchAll xmlns="542624b3-cffc-481c-adb1-2d25bc83b1e4"/>
    <FinancialYear xmlns="acb26242-dc21-4420-965a-f5c1d8109808">2020-2021</FinancialYear>
    <PRAText3 xmlns="4f9c820c-e7e2-444d-97ee-45f2b3485c1d" xsi:nil="true"/>
    <TargetAudience xmlns="cb59e981-3bc6-4f52-8729-00103bb11721">Internal</TargetAudience>
    <Year xmlns="c91a514c-9034-4fa3-897a-8352025b26ed">2020</Year>
    <g8fd85cd35464210baa823c6298a2c0b xmlns="cb59e981-3bc6-4f52-8729-00103bb11721">
      <Terms xmlns="http://schemas.microsoft.com/office/infopath/2007/PartnerControls"/>
    </g8fd85cd35464210baa823c6298a2c0b>
    <PRADateTrigger xmlns="4f9c820c-e7e2-444d-97ee-45f2b3485c1d" xsi:nil="true"/>
    <PRAText2 xmlns="4f9c820c-e7e2-444d-97ee-45f2b3485c1d" xsi:nil="true"/>
    <RDClass xmlns="cb59e981-3bc6-4f52-8729-00103bb11721">TESTCLASS</RDClass>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1E94C3B72383DE4DAA17349E0BBF252600CF303D3B26ED3B43AB85D38A55146184" ma:contentTypeVersion="84" ma:contentTypeDescription="Create a new document." ma:contentTypeScope="" ma:versionID="b8ac6e20393ff5557a83d51fd7c8ffb2">
  <xsd:schema xmlns:xsd="http://www.w3.org/2001/XMLSchema" xmlns:xs="http://www.w3.org/2001/XMLSchema" xmlns:p="http://schemas.microsoft.com/office/2006/metadata/properties" xmlns:ns2="cb59e981-3bc6-4f52-8729-00103bb11721" xmlns:ns3="542624b3-cffc-481c-adb1-2d25bc83b1e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c4b4126e4f5030633f4f3de040c0a551" ns2:_="" ns3:_="" ns4:_="" ns5:_="" ns6:_="" ns7:_="" ns8:_="">
    <xsd:import namespace="cb59e981-3bc6-4f52-8729-00103bb11721"/>
    <xsd:import namespace="542624b3-cffc-481c-adb1-2d25bc83b1e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Administrative"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e981-3bc6-4f52-8729-00103bb1172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Administrative" ma:index="53" nillable="true" ma:displayName="Administrative" ma:hidden="true" ma:internalName="Administrative" ma:readOnly="false">
      <xsd:simpleType>
        <xsd:restriction base="dms:Text">
          <xsd:maxLength value="255"/>
        </xsd:restriction>
      </xsd:simpleType>
    </xsd:element>
    <xsd:element name="ILDate" ma:index="54" nillable="true" ma:displayName="Date" ma:format="DateTime" ma:hidden="true" ma:internalName="ILDate" ma:readOnly="false">
      <xsd:simpleType>
        <xsd:restriction base="dms:DateTime"/>
      </xsd:simpleType>
    </xsd:element>
    <xsd:element name="RDClass" ma:index="55" nillable="true" ma:displayName="Class" ma:default="TESTCLASS"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6"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7"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624b3-cffc-481c-adb1-2d25bc83b1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9c1fd97-ccf6-4a7b-921e-b4d02c325a92}" ma:internalName="TaxCatchAll" ma:showField="CatchAllData" ma:web="542624b3-cffc-481c-adb1-2d25bc83b1e4">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xsd:simpleType>
        <xsd:restriction base="dms:Choice">
          <xsd:enumeration value="Application, certificate, consent related"/>
          <xsd:enumeration value="Briefing Paper"/>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 ma:hidden="true" ma:indexed="true" ma:internalName="Subactivity" ma:readOnly="false">
      <xsd:simpleType>
        <xsd:restriction base="dms:Text">
          <xsd:maxLength value="255"/>
        </xsd:restriction>
      </xsd:simpleType>
    </xsd:element>
    <xsd:element name="Case" ma:index="20" nillable="true" ma:displayName="Case" ma:default="NA" ma:hidden="true" ma:indexed="true" ma:internalName="Case" ma:readOnly="false">
      <xsd:simpleType>
        <xsd:restriction base="dms:Text">
          <xsd:maxLength value="255"/>
        </xsd:restriction>
      </xsd:simpleType>
    </xsd:element>
    <xsd:element name="CategoryName" ma:index="21" nillable="true" ma:displayName="Category" ma:format="Dropdown" ma:indexed="true" ma:internalName="CategoryName">
      <xsd:simpleType>
        <xsd:union memberTypes="dms:Text">
          <xsd:simpleType>
            <xsd:restriction base="dms:Choice">
              <xsd:enumeration value="Annual Report"/>
              <xsd:enumeration value="Annual Review Questions"/>
              <xsd:enumeration value="Estimates Questions"/>
              <xsd:enumeration value="Quarterly Performance Report"/>
              <xsd:enumeration value="Statement of Intent"/>
              <xsd:enumeration value="Statement of Performance Expectations"/>
            </xsd:restriction>
          </xsd:simpleType>
        </xsd:un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Management and Governanc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1-2022" ma:format="Dropdown" ma:internalName="FinancialYear">
      <xsd:simpleType>
        <xsd:union memberTypes="dms:Text">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un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1" ma:format="Dropdown" ma:indexed="true"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NA"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infopath/2007/PartnerControls"/>
    <ds:schemaRef ds:uri="http://schemas.openxmlformats.org/package/2006/metadata/core-properties"/>
    <ds:schemaRef ds:uri="cb59e981-3bc6-4f52-8729-00103bb11721"/>
    <ds:schemaRef ds:uri="http://schemas.microsoft.com/office/2006/metadata/properties"/>
    <ds:schemaRef ds:uri="http://schemas.microsoft.com/office/2006/documentManagement/types"/>
    <ds:schemaRef ds:uri="http://www.w3.org/XML/1998/namespace"/>
    <ds:schemaRef ds:uri="http://purl.org/dc/terms/"/>
    <ds:schemaRef ds:uri="725c79e5-42ce-4aa0-ac78-b6418001f0d2"/>
    <ds:schemaRef ds:uri="15ffb055-6eb4-45a1-bc20-bf2ac0d420da"/>
    <ds:schemaRef ds:uri="c91a514c-9034-4fa3-897a-8352025b26ed"/>
    <ds:schemaRef ds:uri="4f9c820c-e7e2-444d-97ee-45f2b3485c1d"/>
    <ds:schemaRef ds:uri="acb26242-dc21-4420-965a-f5c1d8109808"/>
    <ds:schemaRef ds:uri="542624b3-cffc-481c-adb1-2d25bc83b1e4"/>
    <ds:schemaRef ds:uri="http://purl.org/dc/dcmitype/"/>
  </ds:schemaRefs>
</ds:datastoreItem>
</file>

<file path=customXml/itemProps2.xml><?xml version="1.0" encoding="utf-8"?>
<ds:datastoreItem xmlns:ds="http://schemas.openxmlformats.org/officeDocument/2006/customXml" ds:itemID="{116072B0-24EF-4B96-968D-7C0411096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e981-3bc6-4f52-8729-00103bb11721"/>
    <ds:schemaRef ds:uri="542624b3-cffc-481c-adb1-2d25bc83b1e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CE Expense Disclosure Workbook and Guide</dc:title>
  <dc:subject/>
  <dc:creator>mortensenm</dc:creator>
  <cp:keywords/>
  <dc:description>Version 7 - for review by SIT - ready 2/10/18</dc:description>
  <cp:lastModifiedBy>Paula Ryan</cp:lastModifiedBy>
  <cp:revision/>
  <dcterms:created xsi:type="dcterms:W3CDTF">2010-10-17T20:59:02Z</dcterms:created>
  <dcterms:modified xsi:type="dcterms:W3CDTF">2021-08-05T00:42:59Z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0x0101001E94C3B72383DE4DAA17349E0BBF252600CF303D3B26ED3B43AB85D38A55146184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tity">
    <vt:lpwstr/>
  </property>
  <property fmtid="{D5CDD505-2E9C-101B-9397-08002B2CF9AE}" pid="8" name="Region">
    <vt:lpwstr/>
  </property>
  <property fmtid="{D5CDD505-2E9C-101B-9397-08002B2CF9AE}" pid="9" name="Sport">
    <vt:lpwstr/>
  </property>
</Properties>
</file>