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https://sportnzgroup-my.sharepoint.com/personal/paula_ryan_sportnz_org_nz/Documents/Pete/"/>
    </mc:Choice>
  </mc:AlternateContent>
  <xr:revisionPtr revIDLastSave="1" documentId="8_{AD717757-1165-4CDA-BD88-2C735119E4FF}" xr6:coauthVersionLast="45" xr6:coauthVersionMax="45" xr10:uidLastSave="{4899C626-4B62-47D4-A1B6-C3FAE48D294D}"/>
  <bookViews>
    <workbookView xWindow="-120" yWindow="-120" windowWidth="38640" windowHeight="2124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benefits'!$A$1:$F$34</definedName>
    <definedName name="_xlnm.Print_Area" localSheetId="0">'Guidance for agencies'!$A$1:$A$58</definedName>
    <definedName name="_xlnm.Print_Area" localSheetId="3">Hospitality!$A$1:$E$29</definedName>
    <definedName name="_xlnm.Print_Area" localSheetId="1">'Summary and sign-off'!$A$1:$F$23</definedName>
    <definedName name="_xlnm.Print_Area" localSheetId="2">Travel!$A$1:$E$174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1" l="1"/>
  <c r="B143" i="1"/>
  <c r="B39" i="1"/>
  <c r="B26" i="1"/>
  <c r="B144" i="1" l="1"/>
  <c r="B154" i="1"/>
  <c r="B153" i="1"/>
  <c r="B14" i="1" l="1"/>
  <c r="B38" i="1" l="1"/>
  <c r="B37" i="1"/>
  <c r="B35" i="1"/>
  <c r="B34" i="1"/>
  <c r="B33" i="1"/>
  <c r="B32" i="1"/>
  <c r="B31" i="1"/>
  <c r="B30" i="1"/>
  <c r="B29" i="1"/>
  <c r="B151" i="1"/>
  <c r="B147" i="1"/>
  <c r="B140" i="1"/>
  <c r="B139" i="1"/>
  <c r="B137" i="1"/>
  <c r="B136" i="1"/>
  <c r="B135" i="1"/>
  <c r="B132" i="1"/>
  <c r="B131" i="1"/>
  <c r="B130" i="1"/>
  <c r="B129" i="1"/>
  <c r="B128" i="1"/>
  <c r="B127" i="1"/>
  <c r="B124" i="1"/>
  <c r="B122" i="1"/>
  <c r="B121" i="1"/>
  <c r="B118" i="1"/>
  <c r="B117" i="1"/>
  <c r="B116" i="1"/>
  <c r="B112" i="1" l="1"/>
  <c r="B109" i="1"/>
  <c r="B104" i="1"/>
  <c r="B95" i="1"/>
  <c r="B24" i="1"/>
  <c r="B56" i="1" l="1"/>
  <c r="B63" i="1"/>
  <c r="B74" i="1"/>
  <c r="B27" i="1" l="1"/>
  <c r="B108" i="1" l="1"/>
  <c r="B105" i="1"/>
  <c r="B103" i="1"/>
  <c r="B102" i="1"/>
  <c r="B98" i="1"/>
  <c r="B97" i="1"/>
  <c r="B88" i="1"/>
  <c r="B83" i="1"/>
  <c r="B86" i="1"/>
  <c r="B94" i="1" l="1"/>
  <c r="B91" i="1"/>
  <c r="B90" i="1"/>
  <c r="B87" i="1"/>
  <c r="B85" i="1"/>
  <c r="B82" i="1"/>
  <c r="B80" i="1"/>
  <c r="B76" i="1"/>
  <c r="B77" i="1"/>
  <c r="B73" i="1" l="1"/>
  <c r="B70" i="1"/>
  <c r="B66" i="1"/>
  <c r="B59" i="1"/>
  <c r="B60" i="1"/>
  <c r="B61" i="1"/>
  <c r="B55" i="1"/>
  <c r="B20" i="1"/>
  <c r="B19" i="1"/>
  <c r="B23" i="1" l="1"/>
  <c r="B18" i="1"/>
  <c r="B17" i="1"/>
  <c r="B12" i="1" l="1"/>
  <c r="B12" i="3" l="1"/>
  <c r="D23" i="4" l="1"/>
  <c r="C20" i="3"/>
  <c r="C22" i="2"/>
  <c r="C155" i="1"/>
  <c r="C163" i="1"/>
  <c r="C42" i="1"/>
  <c r="B6" i="13" l="1"/>
  <c r="E59" i="13"/>
  <c r="C59" i="13"/>
  <c r="C25" i="4"/>
  <c r="C24" i="4"/>
  <c r="B59" i="13" l="1"/>
  <c r="B58" i="13"/>
  <c r="D58" i="13"/>
  <c r="B57" i="13"/>
  <c r="D57" i="13"/>
  <c r="B56" i="13"/>
  <c r="D55" i="13"/>
  <c r="B55" i="13"/>
  <c r="D54" i="13"/>
  <c r="B54" i="13"/>
  <c r="B2" i="4"/>
  <c r="B3" i="4"/>
  <c r="B2" i="3"/>
  <c r="B3" i="3"/>
  <c r="B2" i="2"/>
  <c r="B3" i="2"/>
  <c r="B2" i="1"/>
  <c r="B3" i="1"/>
  <c r="F57" i="13" l="1"/>
  <c r="D22" i="2" s="1"/>
  <c r="F59" i="13"/>
  <c r="E23" i="4" s="1"/>
  <c r="F58" i="13"/>
  <c r="D20" i="3" s="1"/>
  <c r="F55" i="13"/>
  <c r="D155" i="1" s="1"/>
  <c r="F54" i="13"/>
  <c r="D42" i="1" s="1"/>
  <c r="C13" i="13"/>
  <c r="C12" i="13"/>
  <c r="C11" i="13"/>
  <c r="C16" i="13" l="1"/>
  <c r="C17" i="13"/>
  <c r="B5" i="4" l="1"/>
  <c r="B4" i="4"/>
  <c r="B5" i="3"/>
  <c r="B4" i="3"/>
  <c r="B5" i="2"/>
  <c r="B4" i="2"/>
  <c r="B5" i="1"/>
  <c r="B4" i="1"/>
  <c r="C15" i="13" l="1"/>
  <c r="F12" i="13" l="1"/>
  <c r="C23" i="4"/>
  <c r="F11" i="13" s="1"/>
  <c r="F13" i="13" l="1"/>
  <c r="B163" i="1"/>
  <c r="B155" i="1"/>
  <c r="B42" i="1"/>
  <c r="D56" i="13" l="1"/>
  <c r="F56" i="13" s="1"/>
  <c r="D163" i="1" s="1"/>
  <c r="B15" i="13"/>
  <c r="B17" i="13"/>
  <c r="B16" i="13"/>
  <c r="B20" i="3"/>
  <c r="B22" i="2"/>
  <c r="B12" i="13" l="1"/>
  <c r="B13" i="13"/>
  <c r="B11" i="13"/>
  <c r="B1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1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 ref="A45" authorId="0" shapeId="0" xr:uid="{00000000-0006-0000-0300-000002000000}">
      <text>
        <r>
          <rPr>
            <sz val="9"/>
            <color indexed="81"/>
            <rFont val="Tahoma"/>
            <family val="2"/>
          </rPr>
          <t xml:space="preserve">
Insert additional rows as needed:
- 'right click' on a row number (left of screen)
- select 'Insert' (this will insert a row above it)
</t>
        </r>
      </text>
    </comment>
    <comment ref="A158" authorId="0" shapeId="0" xr:uid="{00000000-0006-0000-03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6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<sst xmlns="http://schemas.openxmlformats.org/spreadsheetml/2006/main" count="667" uniqueCount="303">
  <si>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</si>
  <si>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</si>
  <si>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</si>
  <si>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</si>
  <si>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</si>
  <si>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</si>
  <si>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</si>
  <si>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</si>
  <si>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</si>
  <si>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</si>
  <si>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</si>
  <si>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</si>
  <si>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</si>
  <si>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</si>
  <si>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</si>
  <si>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</si>
  <si>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</si>
  <si>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</si>
  <si>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</si>
  <si>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</si>
  <si>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</si>
  <si>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</si>
  <si>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</si>
  <si>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</si>
  <si>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</si>
  <si>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</si>
  <si>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</si>
  <si>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</si>
  <si>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</si>
  <si>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</si>
  <si>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</si>
  <si>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</si>
  <si>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</si>
  <si>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</si>
  <si>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</si>
  <si>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</si>
  <si>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</si>
  <si>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</si>
  <si>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</si>
  <si>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</si>
  <si>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</si>
  <si>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</si>
  <si>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</si>
  <si>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</si>
  <si>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</si>
  <si>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</si>
  <si>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</si>
  <si>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</si>
  <si>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</si>
  <si>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</si>
  <si>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</si>
  <si>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</si>
  <si>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</si>
  <si>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</si>
  <si>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</si>
  <si>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</si>
  <si>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</si>
  <si>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</si>
  <si>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</si>
  <si>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</si>
  <si>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</si>
  <si>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</si>
  <si>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</si>
  <si>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</si>
  <si>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</si>
  <si>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</si>
  <si>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</si>
  <si>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</si>
  <si>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</si>
  <si>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</si>
  <si>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</si>
  <si>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</si>
  <si>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</si>
  <si>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</si>
  <si>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</si>
  <si>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</si>
  <si>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</si>
  <si>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</si>
  <si>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</si>
  <si>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</si>
  <si>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</si>
  <si>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</si>
  <si>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</si>
  <si>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</si>
  <si>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</si>
  <si>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</si>
  <si>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</si>
  <si>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</si>
  <si>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</si>
  <si>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</si>
  <si>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</si>
  <si>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</si>
  <si>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</si>
  <si>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</si>
  <si>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</si>
  <si>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</si>
  <si>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</si>
  <si>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</si>
  <si>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</si>
  <si>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</si>
  <si>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</si>
  <si>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</si>
  <si>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</si>
  <si>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</si>
  <si>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</si>
  <si>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</si>
  <si>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</si>
  <si>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</si>
  <si>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</si>
  <si>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</si>
  <si>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</si>
  <si>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</si>
  <si>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</si>
  <si>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</si>
  <si>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</si>
  <si>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</si>
  <si>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</si>
  <si>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</si>
  <si>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</si>
  <si>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</si>
  <si>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</si>
  <si>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</si>
  <si>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</si>
  <si>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</si>
  <si>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</si>
  <si>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</si>
  <si>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</si>
  <si>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</si>
  <si>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</si>
  <si>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</si>
  <si>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</si>
  <si>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</si>
  <si>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</si>
  <si>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</si>
  <si>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</si>
  <si>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</si>
  <si>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</si>
  <si>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</si>
  <si>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</si>
  <si>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</si>
  <si>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</si>
  <si>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</si>
  <si>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</si>
  <si>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</si>
  <si>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</si>
  <si>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</si>
  <si>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</si>
  <si>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</si>
  <si>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</si>
  <si>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</si>
  <si>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</si>
  <si>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</si>
  <si>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</si>
  <si>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</si>
  <si>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</si>
  <si>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</si>
  <si>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</si>
  <si>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</si>
  <si>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</si>
  <si>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</si>
  <si>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</si>
  <si>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</si>
  <si>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</si>
  <si>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</si>
  <si>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</si>
  <si>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</si>
  <si>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</si>
  <si>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</si>
  <si>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accommodation</t>
  </si>
  <si>
    <t>meals</t>
  </si>
  <si>
    <t>Melbourne</t>
  </si>
  <si>
    <t>airfare</t>
  </si>
  <si>
    <t>taxis</t>
  </si>
  <si>
    <t>Sport NZ</t>
  </si>
  <si>
    <t>Peter Miskimmin</t>
  </si>
  <si>
    <t>NZ Rugby</t>
  </si>
  <si>
    <t>23/24 July 2019</t>
  </si>
  <si>
    <t>Keynote speaker at Australian National Sports Conference</t>
  </si>
  <si>
    <t>Canberra &amp; Adelaide</t>
  </si>
  <si>
    <t>Meetings with SportAus; attending CASRO</t>
  </si>
  <si>
    <t>20-23 Aug 2019</t>
  </si>
  <si>
    <t>Ticket and hosting to All Blacks v South Africa test, Wgtn</t>
  </si>
  <si>
    <t>Aug</t>
  </si>
  <si>
    <t>Hamilton</t>
  </si>
  <si>
    <t>Ticket and hosting to All Blacks v Australia, Eden Park</t>
  </si>
  <si>
    <t>accommodation (x1) - complimentary</t>
  </si>
  <si>
    <t>Various partner meetings in Auckland</t>
  </si>
  <si>
    <t>Coffees</t>
  </si>
  <si>
    <t>Wellington</t>
  </si>
  <si>
    <t>Meeting with sector CEOs (4 pax)</t>
  </si>
  <si>
    <t>HPSNZ board meeting</t>
  </si>
  <si>
    <t>Auckland</t>
  </si>
  <si>
    <t>airport parking</t>
  </si>
  <si>
    <t>2-3 Sept 2019</t>
  </si>
  <si>
    <t>30 Sept - 4 Oct 2019</t>
  </si>
  <si>
    <t>Nationwide roadshow to launch new strategy - Dn/Chch/Wgtn/Nthld/Akld</t>
  </si>
  <si>
    <t>airfares</t>
  </si>
  <si>
    <t>rental cars</t>
  </si>
  <si>
    <t>Dn/Chch/Wgtn/Nthld/Akld</t>
  </si>
  <si>
    <t>Rugby World Cup; meetings with Japanese counterparts; Olympic village site visit; hosting BlackGold events; NZOC Tokyo 202 Gala dinner</t>
  </si>
  <si>
    <t>Tokyo</t>
  </si>
  <si>
    <t>24 Oct - 4 Nov 2019</t>
  </si>
  <si>
    <t>Breakfast meeting</t>
  </si>
  <si>
    <t>Meeting with England Rugby (2 pax)</t>
  </si>
  <si>
    <t>meals (4 days)</t>
  </si>
  <si>
    <t>taxis (x5)</t>
  </si>
  <si>
    <t>accommodation (3 nights)</t>
  </si>
  <si>
    <t>Keep Up with the Play media launch + meeting with Lotto NZ</t>
  </si>
  <si>
    <t>Vodafone</t>
  </si>
  <si>
    <t>Mobile and roaming</t>
  </si>
  <si>
    <t>Carparking at airport</t>
  </si>
  <si>
    <t>Airport parking</t>
  </si>
  <si>
    <t>Taxi (Uber) x2</t>
  </si>
  <si>
    <t>Play.sport school site visit (cancelled 5/8)</t>
  </si>
  <si>
    <t>Nationwide roadshow to launch new strategy - Akld/Dn/Chch/Wgtn/Nthld/Akld</t>
  </si>
  <si>
    <t>parking</t>
  </si>
  <si>
    <t>rental car</t>
  </si>
  <si>
    <t>meal</t>
  </si>
  <si>
    <t>Induction for new board intern</t>
  </si>
  <si>
    <t xml:space="preserve">Launch of new strategy </t>
  </si>
  <si>
    <t>Launch of Disability Plan; mtg with NZ Cricket</t>
  </si>
  <si>
    <t>15/16 Oct 2019</t>
  </si>
  <si>
    <t>Sport Taranaki strategy session; HPSNZ board mtg</t>
  </si>
  <si>
    <t>Wgtn/NP/Akld/Wgtn</t>
  </si>
  <si>
    <t>Sport Canterbury strategy session</t>
  </si>
  <si>
    <t xml:space="preserve">Wgtn/Chch </t>
  </si>
  <si>
    <t>Christchurch</t>
  </si>
  <si>
    <t>Sport Otago strategy session</t>
  </si>
  <si>
    <t>Dunedin</t>
  </si>
  <si>
    <t>Sport Hawkes Bay strategy session</t>
  </si>
  <si>
    <t>Napier</t>
  </si>
  <si>
    <t>14/15 Nov 2019</t>
  </si>
  <si>
    <t>Speaking at Auckland Sector Forum</t>
  </si>
  <si>
    <t>Hosting table at NZOC Gala Dinner</t>
  </si>
  <si>
    <t>12/13 Dec 2019</t>
  </si>
  <si>
    <t>NZ Rugby Awards; openning of National Hockey Facility</t>
  </si>
  <si>
    <t>9-10 Sept 2019</t>
  </si>
  <si>
    <t>9-10 Sept 2020</t>
  </si>
  <si>
    <t>9-10 Sept 2021</t>
  </si>
  <si>
    <t>9-10 Sept 2022</t>
  </si>
  <si>
    <t>9-10 Sept 2023</t>
  </si>
  <si>
    <t>9-10 Sept 2024</t>
  </si>
  <si>
    <t>Speaking at Women &amp; Girls Forum</t>
  </si>
  <si>
    <t xml:space="preserve">taxi </t>
  </si>
  <si>
    <t>Board dinner</t>
  </si>
  <si>
    <t>Taxi (Uber)</t>
  </si>
  <si>
    <t>Sport NZ board meeting and Halberg Awards</t>
  </si>
  <si>
    <t>Meeting with Aktive Board; lunch mtg Akld Council</t>
  </si>
  <si>
    <t>Tickets and hosting to RWC semi finals, final and brozne play off, Tokyo</t>
  </si>
  <si>
    <t>Accommodation</t>
  </si>
  <si>
    <t>taxis (x9)</t>
  </si>
  <si>
    <t>accommodation + incidental hotel expenses (6 nights)</t>
  </si>
  <si>
    <t>Parking</t>
  </si>
  <si>
    <t>Chair to Chairs Forum; present new strategy to HPSNZ staff</t>
  </si>
  <si>
    <t>Breakfast meeting with stakeholder (2 pax)</t>
  </si>
  <si>
    <t>Parking, airport</t>
  </si>
  <si>
    <t>taxis in NZ</t>
  </si>
  <si>
    <t>Hosting table at NZOC Gala Dinner; attending NZOC board mtg</t>
  </si>
  <si>
    <t>taxis (x4)</t>
  </si>
  <si>
    <t>taxis (x3)</t>
  </si>
  <si>
    <t>taxis (x2)</t>
  </si>
  <si>
    <t>accommodation (due to flight cancellation)</t>
  </si>
  <si>
    <t>12-13/02/2020</t>
  </si>
  <si>
    <t>1-3 Feb 2020</t>
  </si>
  <si>
    <t>Brisbane</t>
  </si>
  <si>
    <t>Attending CASRO meeting (via Akld)</t>
  </si>
  <si>
    <t>Rental car</t>
  </si>
  <si>
    <t>Ticket to T20 Blackcaps v India</t>
  </si>
  <si>
    <t>NZ Cricket</t>
  </si>
  <si>
    <t>Townsville</t>
  </si>
  <si>
    <t>National Partner Forum; speaking Golf NZ Future Leaders Prog</t>
  </si>
  <si>
    <t>27-28 February 2020</t>
  </si>
  <si>
    <t>Partner meetings</t>
  </si>
  <si>
    <t>11-12 March 2020</t>
  </si>
  <si>
    <t>Judging sector awards; HPSNZ board meeting</t>
  </si>
  <si>
    <t xml:space="preserve">Accommodation </t>
  </si>
  <si>
    <t xml:space="preserve">Attending CASRO meeting (via Akld) </t>
  </si>
  <si>
    <t>Attending MSRM - trip cancelled at last minute due to flight delays</t>
  </si>
  <si>
    <t>Accommodation (non-refundable)</t>
  </si>
  <si>
    <t xml:space="preserve">Sport NZ board meeting and Halberg Awards </t>
  </si>
  <si>
    <t>Sport NZ bpard meeting and Halberg Awards</t>
  </si>
  <si>
    <t>taxi (x2)</t>
  </si>
  <si>
    <t>parking at HPSNZ</t>
  </si>
  <si>
    <t>Parking at airport</t>
  </si>
  <si>
    <t>Airfares Wlg-Akl</t>
  </si>
  <si>
    <t>Airfares Akl-Bne-Wlg</t>
  </si>
  <si>
    <t>Airfares A/B/T/B/W</t>
  </si>
  <si>
    <t>Mtg with contractor (2 pax)</t>
  </si>
  <si>
    <t>Refunded</t>
  </si>
  <si>
    <t xml:space="preserve">airfare </t>
  </si>
  <si>
    <t>HPSNZ Board meeting</t>
  </si>
  <si>
    <t xml:space="preserve">Drinks (non-alcoholic) </t>
  </si>
  <si>
    <t>Meeting with stakeholder (4 pax)</t>
  </si>
  <si>
    <t>Attending stakeholder Board meeting</t>
  </si>
  <si>
    <t>Ticket to Blues v Hurricanes</t>
  </si>
  <si>
    <t>Eden Park Trust</t>
  </si>
  <si>
    <t>Mtg with Sport Queensland (3pax)</t>
  </si>
  <si>
    <t>taxis (x6)</t>
  </si>
  <si>
    <t>Service fee from APX on inv 339 (for cancelled IOD course)</t>
  </si>
  <si>
    <t>meals (x5)</t>
  </si>
  <si>
    <t>Note: From Aug 2019 Sport NZ Vodafone charges coded to the organisation rather than individual cost codes</t>
  </si>
  <si>
    <t>Meeting with stakeholder; and Akld-based Sport NZ staff</t>
  </si>
  <si>
    <t>GM Strategy, Policy &amp;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</si>
</sst>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8"/>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1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167" fontId="15" fillId="10" borderId="3" xfId="0" applyNumberFormat="1"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readingOrder="1"/>
    </xf>
    <xf numFmtId="2"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0" fontId="0" fillId="0" borderId="0" xfId="0" applyFill="1" applyAlignment="1" applyProtection="1">
      <alignment wrapText="1"/>
      <protection locked="0"/>
    </xf>
    <xf numFmtId="0" fontId="0" fillId="0" borderId="0" xfId="0" applyFill="1" applyProtection="1">
      <protection locked="0"/>
    </xf>
    <xf numFmtId="14" fontId="15" fillId="0" borderId="3" xfId="0" applyNumberFormat="1" applyFont="1" applyFill="1" applyBorder="1" applyAlignment="1" applyProtection="1">
      <alignment horizontal="left" vertical="center"/>
      <protection locked="0"/>
    </xf>
    <xf numFmtId="164"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center"/>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0" xfId="0" applyFont="1" applyFill="1" applyBorder="1" applyProtection="1">
      <protection locked="0"/>
    </xf>
    <xf numFmtId="167" fontId="15" fillId="0" borderId="3" xfId="0"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0" fillId="0" borderId="4" xfId="0" applyFont="1" applyFill="1" applyBorder="1" applyAlignment="1" applyProtection="1">
      <alignment horizontal="left" vertical="center" wrapText="1"/>
      <protection locked="0"/>
    </xf>
    <xf numFmtId="0" fontId="15" fillId="0" borderId="4" xfId="0" applyNumberFormat="1"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right" vertical="center" wrapText="1"/>
      <protection locked="0"/>
    </xf>
    <xf numFmtId="0" fontId="0" fillId="0" borderId="5" xfId="0" applyFont="1" applyFill="1" applyBorder="1" applyAlignment="1" applyProtection="1">
      <alignment horizontal="left" vertical="center" wrapText="1"/>
      <protection locked="0"/>
    </xf>
    <xf numFmtId="0" fontId="0" fillId="10" borderId="0" xfId="0" applyFill="1" applyProtection="1">
      <protection locked="0"/>
    </xf>
    <xf numFmtId="167" fontId="0" fillId="0" borderId="0" xfId="0" applyNumberFormat="1" applyAlignment="1" applyProtection="1">
      <alignment horizontal="left"/>
      <protection locked="0"/>
    </xf>
    <xf numFmtId="167" fontId="15" fillId="10" borderId="3" xfId="0" applyNumberFormat="1" applyFont="1" applyFill="1" applyBorder="1" applyAlignment="1" applyProtection="1">
      <alignment horizontal="left" vertical="center"/>
      <protection locked="0"/>
    </xf>
    <xf numFmtId="2" fontId="15" fillId="10" borderId="4" xfId="0" applyNumberFormat="1" applyFont="1" applyFill="1" applyBorder="1" applyAlignment="1" applyProtection="1">
      <alignment vertical="center" wrapText="1"/>
      <protection locked="0"/>
    </xf>
    <xf numFmtId="15" fontId="0" fillId="10" borderId="0" xfId="0" applyNumberFormat="1" applyFill="1" applyAlignment="1" applyProtection="1">
      <alignment horizontal="left"/>
      <protection locked="0"/>
    </xf>
    <xf numFmtId="0" fontId="15" fillId="10" borderId="5" xfId="0" applyFont="1" applyFill="1" applyBorder="1" applyAlignment="1" applyProtection="1">
      <alignment vertical="center"/>
      <protection locked="0"/>
    </xf>
    <xf numFmtId="0" fontId="0" fillId="0" borderId="0" xfId="0" applyAlignment="1" applyProtection="1">
      <alignment vertical="center" wrapText="1"/>
      <protection locked="0"/>
    </xf>
    <xf numFmtId="167" fontId="15" fillId="10" borderId="3" xfId="0" quotePrefix="1" applyNumberFormat="1" applyFont="1" applyFill="1" applyBorder="1" applyAlignment="1" applyProtection="1">
      <alignment horizontal="left" vertical="center"/>
      <protection locked="0"/>
    </xf>
    <xf numFmtId="2" fontId="15" fillId="0" borderId="4" xfId="0" applyNumberFormat="1" applyFont="1" applyBorder="1" applyAlignment="1" applyProtection="1">
      <alignment vertical="center" wrapText="1"/>
      <protection locked="0"/>
    </xf>
    <xf numFmtId="167" fontId="15" fillId="0" borderId="3" xfId="0" applyNumberFormat="1" applyFont="1" applyBorder="1" applyAlignment="1" applyProtection="1">
      <alignment horizontal="left" vertical="center"/>
      <protection locked="0"/>
    </xf>
    <xf numFmtId="0" fontId="15" fillId="0" borderId="4" xfId="0" applyFont="1" applyBorder="1" applyAlignment="1" applyProtection="1">
      <alignment vertical="center" wrapText="1"/>
      <protection locked="0"/>
    </xf>
    <xf numFmtId="0" fontId="15" fillId="0" borderId="5" xfId="0" applyFont="1" applyBorder="1" applyAlignment="1" applyProtection="1">
      <alignment vertical="center" wrapText="1"/>
      <protection locked="0"/>
    </xf>
    <xf numFmtId="2" fontId="15" fillId="0" borderId="0" xfId="0" applyNumberFormat="1" applyFont="1" applyAlignment="1" applyProtection="1">
      <alignment vertical="center" wrapText="1"/>
      <protection locked="0"/>
    </xf>
    <xf numFmtId="167" fontId="15" fillId="0" borderId="3" xfId="0" applyNumberFormat="1" applyFont="1" applyBorder="1" applyAlignment="1" applyProtection="1">
      <alignment horizontal="left" vertical="center" wrapText="1"/>
      <protection locked="0"/>
    </xf>
    <xf numFmtId="2" fontId="0" fillId="10" borderId="0" xfId="0" applyNumberFormat="1" applyFill="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61"/>
  <sheetViews>
    <sheetView topLeftCell="A24" zoomScale="85" zoomScaleNormal="85" workbookViewId="0">
      <selection activeCell="A36" sqref="A36"/>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3"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19"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3"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100-000000000000}"/>
    <hyperlink ref="A41" r:id="rId2" xr:uid="{00000000-0004-0000-0100-000001000000}"/>
    <hyperlink ref="A55" r:id="rId3" xr:uid="{00000000-0004-0000-0100-000002000000}"/>
    <hyperlink ref="A56" r:id="rId4" display="mailto:info@data.govt.nz" xr:uid="{00000000-0004-0000-0100-000003000000}"/>
    <hyperlink ref="A58" r:id="rId5" display="http://www.ssc.govt.nz/ce-expenses-disclosure" xr:uid="{00000000-0004-0000-0100-000004000000}"/>
    <hyperlink ref="A2" r:id="rId6" display="http://www.ssc.govt.nz/sites/all/files/ce-expense-disclosures-guide-agency-staff-2017.docx" xr:uid="{00000000-0004-0000-0100-000005000000}"/>
    <hyperlink ref="A54" r:id="rId7" display="http://www.ssc.govt.nz/sites/all/files/ce-expense-disclosures-guide-agency-staff-2017.docx" xr:uid="{00000000-0004-0000-0100-000006000000}"/>
    <hyperlink ref="A57" r:id="rId8" display="They are posted on agency websites and linked to www.data.govt.nz. See: https://www.data.govt.nz/toolkit/how-do-i-add-or-update-our-chief-executive-expenses/" xr:uid="{00000000-0004-0000-01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K76"/>
  <sheetViews>
    <sheetView zoomScaleNormal="100" workbookViewId="0">
      <selection activeCell="C10" sqref="C10"/>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94" t="s">
        <v>98</v>
      </c>
      <c r="B1" s="194"/>
      <c r="C1" s="194"/>
      <c r="D1" s="194"/>
      <c r="E1" s="194"/>
      <c r="F1" s="194"/>
      <c r="G1" s="48"/>
      <c r="H1" s="48"/>
      <c r="I1" s="48"/>
      <c r="J1" s="48"/>
      <c r="K1" s="48"/>
    </row>
    <row r="2" spans="1:11" ht="21" customHeight="1" x14ac:dyDescent="0.2">
      <c r="A2" s="4" t="s">
        <v>2</v>
      </c>
      <c r="B2" s="195" t="s">
        <v>173</v>
      </c>
      <c r="C2" s="195"/>
      <c r="D2" s="195"/>
      <c r="E2" s="195"/>
      <c r="F2" s="195"/>
      <c r="G2" s="48"/>
      <c r="H2" s="48"/>
      <c r="I2" s="48"/>
      <c r="J2" s="48"/>
      <c r="K2" s="48"/>
    </row>
    <row r="3" spans="1:11" ht="21" customHeight="1" x14ac:dyDescent="0.2">
      <c r="A3" s="4" t="s">
        <v>99</v>
      </c>
      <c r="B3" s="195" t="s">
        <v>174</v>
      </c>
      <c r="C3" s="195"/>
      <c r="D3" s="195"/>
      <c r="E3" s="195"/>
      <c r="F3" s="195"/>
      <c r="G3" s="48"/>
      <c r="H3" s="48"/>
      <c r="I3" s="48"/>
      <c r="J3" s="48"/>
      <c r="K3" s="48"/>
    </row>
    <row r="4" spans="1:11" ht="21" customHeight="1" x14ac:dyDescent="0.2">
      <c r="A4" s="4" t="s">
        <v>79</v>
      </c>
      <c r="B4" s="196">
        <v>43647</v>
      </c>
      <c r="C4" s="196"/>
      <c r="D4" s="196"/>
      <c r="E4" s="196"/>
      <c r="F4" s="196"/>
      <c r="G4" s="48"/>
      <c r="H4" s="48"/>
      <c r="I4" s="48"/>
      <c r="J4" s="48"/>
      <c r="K4" s="48"/>
    </row>
    <row r="5" spans="1:11" ht="21" customHeight="1" x14ac:dyDescent="0.2">
      <c r="A5" s="4" t="s">
        <v>80</v>
      </c>
      <c r="B5" s="196">
        <v>44012</v>
      </c>
      <c r="C5" s="196"/>
      <c r="D5" s="196"/>
      <c r="E5" s="196"/>
      <c r="F5" s="196"/>
      <c r="G5" s="48"/>
      <c r="H5" s="48"/>
      <c r="I5" s="48"/>
      <c r="J5" s="48"/>
      <c r="K5" s="48"/>
    </row>
    <row r="6" spans="1:11" ht="21" customHeight="1" x14ac:dyDescent="0.2">
      <c r="A6" s="4" t="s">
        <v>104</v>
      </c>
      <c r="B6" s="193" t="str">
        <f>IF(AND(Travel!B7&lt;&gt;A30,Hospitality!B7&lt;&gt;A30,'All other expenses'!B7&lt;&gt;A30,'Gifts and benefits'!B7&lt;&gt;A30),A31,IF(AND(Travel!B7=A30,Hospitality!B7=A30,'All other expenses'!B7=A30,'Gifts and benefits'!B7=A30),A33,A32))</f>
        <v>Data and totals checked on all sheets</v>
      </c>
      <c r="C6" s="193"/>
      <c r="D6" s="193"/>
      <c r="E6" s="193"/>
      <c r="F6" s="193"/>
      <c r="G6" s="36"/>
      <c r="H6" s="48"/>
      <c r="I6" s="48"/>
      <c r="J6" s="48"/>
      <c r="K6" s="48"/>
    </row>
    <row r="7" spans="1:11" ht="21" customHeight="1" x14ac:dyDescent="0.2">
      <c r="A7" s="4" t="s">
        <v>133</v>
      </c>
      <c r="B7" s="192" t="s">
        <v>63</v>
      </c>
      <c r="C7" s="192"/>
      <c r="D7" s="192"/>
      <c r="E7" s="192"/>
      <c r="F7" s="192"/>
      <c r="G7" s="36"/>
      <c r="H7" s="48"/>
      <c r="I7" s="48"/>
      <c r="J7" s="48"/>
      <c r="K7" s="48"/>
    </row>
    <row r="8" spans="1:11" ht="21" customHeight="1" x14ac:dyDescent="0.2">
      <c r="A8" s="4" t="s">
        <v>100</v>
      </c>
      <c r="B8" s="192" t="s">
        <v>302</v>
      </c>
      <c r="C8" s="192"/>
      <c r="D8" s="192"/>
      <c r="E8" s="192"/>
      <c r="F8" s="192"/>
      <c r="G8" s="36"/>
      <c r="H8" s="48"/>
      <c r="I8" s="48"/>
      <c r="J8" s="48"/>
      <c r="K8" s="48"/>
    </row>
    <row r="9" spans="1:11" ht="66.75" customHeight="1" x14ac:dyDescent="0.2">
      <c r="A9" s="191" t="s">
        <v>125</v>
      </c>
      <c r="B9" s="191"/>
      <c r="C9" s="191"/>
      <c r="D9" s="191"/>
      <c r="E9" s="191"/>
      <c r="F9" s="191"/>
      <c r="G9" s="36"/>
      <c r="H9" s="48"/>
      <c r="I9" s="48"/>
      <c r="J9" s="48"/>
      <c r="K9" s="48"/>
    </row>
    <row r="10" spans="1:11" s="152" customFormat="1" ht="36" customHeight="1" x14ac:dyDescent="0.2">
      <c r="A10" s="146" t="s">
        <v>48</v>
      </c>
      <c r="B10" s="147" t="s">
        <v>31</v>
      </c>
      <c r="C10" s="147" t="s">
        <v>65</v>
      </c>
      <c r="D10" s="148"/>
      <c r="E10" s="149" t="s">
        <v>47</v>
      </c>
      <c r="F10" s="150" t="s">
        <v>72</v>
      </c>
      <c r="G10" s="151"/>
      <c r="H10" s="151"/>
      <c r="I10" s="151"/>
      <c r="J10" s="151"/>
      <c r="K10" s="151"/>
    </row>
    <row r="11" spans="1:11" ht="27.75" customHeight="1" x14ac:dyDescent="0.2">
      <c r="A11" s="11" t="s">
        <v>84</v>
      </c>
      <c r="B11" s="99">
        <f>B15+B16+B17</f>
        <v>36668.163043478264</v>
      </c>
      <c r="C11" s="107" t="str">
        <f>IF(Travel!B6="",A34,Travel!B6)</f>
        <v>Figures exclude GST</v>
      </c>
      <c r="D11" s="8"/>
      <c r="E11" s="11" t="s">
        <v>95</v>
      </c>
      <c r="F11" s="58">
        <f>'Gifts and benefits'!C23</f>
        <v>5</v>
      </c>
      <c r="G11" s="49"/>
      <c r="H11" s="49"/>
      <c r="I11" s="49"/>
      <c r="J11" s="49"/>
      <c r="K11" s="49"/>
    </row>
    <row r="12" spans="1:11" ht="27.75" customHeight="1" x14ac:dyDescent="0.2">
      <c r="A12" s="11" t="s">
        <v>12</v>
      </c>
      <c r="B12" s="99">
        <f>Hospitality!B22</f>
        <v>125.22</v>
      </c>
      <c r="C12" s="107" t="str">
        <f>IF(Hospitality!B6="",A34,Hospitality!B6)</f>
        <v>Figures exclude GST</v>
      </c>
      <c r="D12" s="8"/>
      <c r="E12" s="11" t="s">
        <v>96</v>
      </c>
      <c r="F12" s="58">
        <f>'Gifts and benefits'!C24</f>
        <v>3</v>
      </c>
      <c r="G12" s="49"/>
      <c r="H12" s="49"/>
      <c r="I12" s="49"/>
      <c r="J12" s="49"/>
      <c r="K12" s="49"/>
    </row>
    <row r="13" spans="1:11" ht="27.75" customHeight="1" x14ac:dyDescent="0.2">
      <c r="A13" s="11" t="s">
        <v>30</v>
      </c>
      <c r="B13" s="99">
        <f>'All other expenses'!B20</f>
        <v>59.07</v>
      </c>
      <c r="C13" s="107" t="str">
        <f>IF('All other expenses'!B6="",A34,'All other expenses'!B6)</f>
        <v>Figures exclude GST</v>
      </c>
      <c r="D13" s="8"/>
      <c r="E13" s="11" t="s">
        <v>97</v>
      </c>
      <c r="F13" s="58">
        <f>'Gifts and benefits'!C25</f>
        <v>2</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Travel!B42</f>
        <v>19057.48</v>
      </c>
      <c r="C15" s="109" t="str">
        <f>C11</f>
        <v>Figures exclude GST</v>
      </c>
      <c r="D15" s="8"/>
      <c r="E15" s="8"/>
      <c r="F15" s="60"/>
      <c r="G15" s="48"/>
      <c r="H15" s="48"/>
      <c r="I15" s="48"/>
      <c r="J15" s="48"/>
      <c r="K15" s="48"/>
    </row>
    <row r="16" spans="1:11" ht="27.75" customHeight="1" x14ac:dyDescent="0.2">
      <c r="A16" s="12" t="s">
        <v>91</v>
      </c>
      <c r="B16" s="101">
        <f>Travel!B155</f>
        <v>17515.943043478266</v>
      </c>
      <c r="C16" s="109" t="str">
        <f>C11</f>
        <v>Figures exclude GST</v>
      </c>
      <c r="D16" s="61"/>
      <c r="E16" s="8"/>
      <c r="F16" s="62"/>
      <c r="G16" s="48"/>
      <c r="H16" s="48"/>
      <c r="I16" s="48"/>
      <c r="J16" s="48"/>
      <c r="K16" s="48"/>
    </row>
    <row r="17" spans="1:11" ht="27.75" customHeight="1" x14ac:dyDescent="0.2">
      <c r="A17" s="12" t="s">
        <v>46</v>
      </c>
      <c r="B17" s="101">
        <f>Travel!B163</f>
        <v>94.74</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0" t="s">
        <v>138</v>
      </c>
      <c r="B47" s="103"/>
      <c r="C47" s="103"/>
      <c r="D47" s="103"/>
      <c r="E47" s="103"/>
      <c r="F47" s="103"/>
      <c r="G47" s="48"/>
      <c r="H47" s="48"/>
      <c r="I47" s="48"/>
      <c r="J47" s="48"/>
      <c r="K47" s="48"/>
    </row>
    <row r="48" spans="1:11" ht="25.5" hidden="1" x14ac:dyDescent="0.2">
      <c r="A48" s="140" t="s">
        <v>137</v>
      </c>
      <c r="B48" s="103"/>
      <c r="C48" s="103"/>
      <c r="D48" s="103"/>
      <c r="E48" s="103"/>
      <c r="F48" s="103"/>
      <c r="G48" s="48"/>
      <c r="H48" s="48"/>
      <c r="I48" s="48"/>
      <c r="J48" s="48"/>
      <c r="K48" s="48"/>
    </row>
    <row r="49" spans="1:11" ht="25.5" hidden="1" x14ac:dyDescent="0.2">
      <c r="A49" s="141" t="s">
        <v>139</v>
      </c>
      <c r="B49" s="5"/>
      <c r="C49" s="5"/>
      <c r="D49" s="5"/>
      <c r="E49" s="5"/>
      <c r="F49" s="5"/>
      <c r="G49" s="48"/>
      <c r="H49" s="48"/>
      <c r="I49" s="48"/>
      <c r="J49" s="48"/>
      <c r="K49" s="48"/>
    </row>
    <row r="50" spans="1:11" ht="25.5" hidden="1" x14ac:dyDescent="0.2">
      <c r="A50" s="141" t="s">
        <v>113</v>
      </c>
      <c r="B50" s="5"/>
      <c r="C50" s="5"/>
      <c r="D50" s="5"/>
      <c r="E50" s="5"/>
      <c r="F50" s="5"/>
      <c r="G50" s="48"/>
      <c r="H50" s="48"/>
      <c r="I50" s="48"/>
      <c r="J50" s="48"/>
      <c r="K50" s="48"/>
    </row>
    <row r="51" spans="1:11" ht="38.25" hidden="1" x14ac:dyDescent="0.2">
      <c r="A51" s="141" t="s">
        <v>114</v>
      </c>
      <c r="B51" s="131"/>
      <c r="C51" s="131"/>
      <c r="D51" s="139"/>
      <c r="E51" s="68"/>
      <c r="F51" s="68"/>
      <c r="G51" s="48"/>
      <c r="H51" s="48"/>
      <c r="I51" s="48"/>
      <c r="J51" s="48"/>
      <c r="K51" s="48"/>
    </row>
    <row r="52" spans="1:11" hidden="1" x14ac:dyDescent="0.2">
      <c r="A52" s="136" t="s">
        <v>117</v>
      </c>
      <c r="B52" s="137"/>
      <c r="C52" s="137"/>
      <c r="D52" s="130"/>
      <c r="E52" s="69"/>
      <c r="F52" s="69" t="b">
        <v>1</v>
      </c>
      <c r="G52" s="48"/>
      <c r="H52" s="48"/>
      <c r="I52" s="48"/>
      <c r="J52" s="48"/>
      <c r="K52" s="48"/>
    </row>
    <row r="53" spans="1:11" hidden="1" x14ac:dyDescent="0.2">
      <c r="A53" s="138" t="s">
        <v>140</v>
      </c>
      <c r="B53" s="136"/>
      <c r="C53" s="136"/>
      <c r="D53" s="136"/>
      <c r="E53" s="69"/>
      <c r="F53" s="69" t="b">
        <v>0</v>
      </c>
      <c r="G53" s="48"/>
      <c r="H53" s="48"/>
      <c r="I53" s="48"/>
      <c r="J53" s="48"/>
      <c r="K53" s="48"/>
    </row>
    <row r="54" spans="1:11" hidden="1" x14ac:dyDescent="0.2">
      <c r="A54" s="142"/>
      <c r="B54" s="132">
        <f>COUNT(Travel!B12:B41)</f>
        <v>24</v>
      </c>
      <c r="C54" s="132"/>
      <c r="D54" s="132">
        <f>COUNTIF(Travel!D12:D41,"*")</f>
        <v>24</v>
      </c>
      <c r="E54" s="133"/>
      <c r="F54" s="133" t="b">
        <f>MIN(B54,D54)=MAX(B54,D54)</f>
        <v>1</v>
      </c>
      <c r="G54" s="48"/>
      <c r="H54" s="48"/>
      <c r="I54" s="48"/>
      <c r="J54" s="48"/>
      <c r="K54" s="48"/>
    </row>
    <row r="55" spans="1:11" hidden="1" x14ac:dyDescent="0.2">
      <c r="A55" s="142" t="s">
        <v>111</v>
      </c>
      <c r="B55" s="132">
        <f>COUNT(Travel!B46:B154)</f>
        <v>83</v>
      </c>
      <c r="C55" s="132"/>
      <c r="D55" s="132">
        <f>COUNTIF(Travel!D46:D154,"*")</f>
        <v>82</v>
      </c>
      <c r="E55" s="133"/>
      <c r="F55" s="133" t="b">
        <f>MIN(B55,D55)=MAX(B55,D55)</f>
        <v>0</v>
      </c>
    </row>
    <row r="56" spans="1:11" hidden="1" x14ac:dyDescent="0.2">
      <c r="A56" s="143"/>
      <c r="B56" s="132">
        <f>COUNT(Travel!B159:B162)</f>
        <v>4</v>
      </c>
      <c r="C56" s="132"/>
      <c r="D56" s="132">
        <f>COUNTIF(Travel!D159:D162,"*")</f>
        <v>4</v>
      </c>
      <c r="E56" s="133"/>
      <c r="F56" s="133" t="b">
        <f>MIN(B56,D56)=MAX(B56,D56)</f>
        <v>1</v>
      </c>
    </row>
    <row r="57" spans="1:11" hidden="1" x14ac:dyDescent="0.2">
      <c r="A57" s="144" t="s">
        <v>109</v>
      </c>
      <c r="B57" s="134">
        <f>COUNT(Hospitality!B11:B21)</f>
        <v>6</v>
      </c>
      <c r="C57" s="134"/>
      <c r="D57" s="134">
        <f>COUNTIF(Hospitality!D11:D21,"*")</f>
        <v>6</v>
      </c>
      <c r="E57" s="135"/>
      <c r="F57" s="135" t="b">
        <f>MIN(B57,D57)=MAX(B57,D57)</f>
        <v>1</v>
      </c>
    </row>
    <row r="58" spans="1:11" hidden="1" x14ac:dyDescent="0.2">
      <c r="A58" s="145" t="s">
        <v>110</v>
      </c>
      <c r="B58" s="133">
        <f>COUNT('All other expenses'!B11:B19)</f>
        <v>1</v>
      </c>
      <c r="C58" s="133"/>
      <c r="D58" s="133">
        <f>COUNTIF('All other expenses'!D11:D19,"*")</f>
        <v>1</v>
      </c>
      <c r="E58" s="133"/>
      <c r="F58" s="133" t="b">
        <f>MIN(B58,D58)=MAX(B58,D58)</f>
        <v>1</v>
      </c>
    </row>
    <row r="59" spans="1:11" hidden="1" x14ac:dyDescent="0.2">
      <c r="A59" s="144" t="s">
        <v>108</v>
      </c>
      <c r="B59" s="134">
        <f>COUNTIF('Gifts and benefits'!B11:B22,"*")</f>
        <v>5</v>
      </c>
      <c r="C59" s="134">
        <f>COUNTIF('Gifts and benefits'!C11:C22,"*")</f>
        <v>5</v>
      </c>
      <c r="D59" s="134"/>
      <c r="E59" s="134">
        <f>COUNTA('Gifts and benefits'!E11:E22)</f>
        <v>5</v>
      </c>
      <c r="F59" s="13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2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200-000001000000}"/>
    <dataValidation allowBlank="1" showInputMessage="1" showErrorMessage="1" prompt="Headings on following tabs will pre populate with what you enter here" sqref="B2:F2" xr:uid="{00000000-0002-0000-0200-000002000000}"/>
    <dataValidation allowBlank="1" showInputMessage="1" showErrorMessage="1" prompt="Headings on following tabs will pre populate with what you enter here_x000a__x000a_Create a new workbook for a new Chief Executive" sqref="B3:F3" xr:uid="{00000000-0002-0000-0200-000003000000}"/>
    <dataValidation allowBlank="1" showInputMessage="1" showErrorMessage="1" prompt="Headings on following tabs will pre populate with what you enter here_x000a__x000a_Update if a shorter or different period is covered" sqref="B4:F5" xr:uid="{00000000-0002-0000-02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2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188"/>
  <sheetViews>
    <sheetView tabSelected="1" zoomScaleNormal="100" workbookViewId="0">
      <selection activeCell="B7" sqref="B7:E7"/>
    </sheetView>
  </sheetViews>
  <sheetFormatPr defaultColWidth="0" defaultRowHeight="12.75"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94" t="s">
        <v>6</v>
      </c>
      <c r="B1" s="194"/>
      <c r="C1" s="194"/>
      <c r="D1" s="194"/>
      <c r="E1" s="194"/>
      <c r="F1" s="48"/>
    </row>
    <row r="2" spans="1:6" ht="21" customHeight="1" x14ac:dyDescent="0.2">
      <c r="A2" s="4" t="s">
        <v>2</v>
      </c>
      <c r="B2" s="197" t="str">
        <f>'Summary and sign-off'!B2:F2</f>
        <v>Sport NZ</v>
      </c>
      <c r="C2" s="197"/>
      <c r="D2" s="197"/>
      <c r="E2" s="197"/>
      <c r="F2" s="48"/>
    </row>
    <row r="3" spans="1:6" ht="21" customHeight="1" x14ac:dyDescent="0.2">
      <c r="A3" s="4" t="s">
        <v>3</v>
      </c>
      <c r="B3" s="197" t="str">
        <f>'Summary and sign-off'!B3:F3</f>
        <v>Peter Miskimmin</v>
      </c>
      <c r="C3" s="197"/>
      <c r="D3" s="197"/>
      <c r="E3" s="197"/>
      <c r="F3" s="48"/>
    </row>
    <row r="4" spans="1:6" ht="21" customHeight="1" x14ac:dyDescent="0.2">
      <c r="A4" s="4" t="s">
        <v>77</v>
      </c>
      <c r="B4" s="197">
        <f>'Summary and sign-off'!B4:F4</f>
        <v>43647</v>
      </c>
      <c r="C4" s="197"/>
      <c r="D4" s="197"/>
      <c r="E4" s="197"/>
      <c r="F4" s="48"/>
    </row>
    <row r="5" spans="1:6" ht="21" customHeight="1" x14ac:dyDescent="0.2">
      <c r="A5" s="4" t="s">
        <v>78</v>
      </c>
      <c r="B5" s="197">
        <f>'Summary and sign-off'!B5:F5</f>
        <v>44012</v>
      </c>
      <c r="C5" s="197"/>
      <c r="D5" s="197"/>
      <c r="E5" s="197"/>
      <c r="F5" s="48"/>
    </row>
    <row r="6" spans="1:6" ht="21" customHeight="1" x14ac:dyDescent="0.2">
      <c r="A6" s="4" t="s">
        <v>29</v>
      </c>
      <c r="B6" s="192" t="s">
        <v>28</v>
      </c>
      <c r="C6" s="192"/>
      <c r="D6" s="192"/>
      <c r="E6" s="192"/>
      <c r="F6" s="48"/>
    </row>
    <row r="7" spans="1:6" ht="21" customHeight="1" x14ac:dyDescent="0.2">
      <c r="A7" s="4" t="s">
        <v>104</v>
      </c>
      <c r="B7" s="192" t="s">
        <v>116</v>
      </c>
      <c r="C7" s="192"/>
      <c r="D7" s="192"/>
      <c r="E7" s="192"/>
      <c r="F7" s="48"/>
    </row>
    <row r="8" spans="1:6" ht="36" customHeight="1" x14ac:dyDescent="0.2">
      <c r="A8" s="200" t="s">
        <v>4</v>
      </c>
      <c r="B8" s="201"/>
      <c r="C8" s="201"/>
      <c r="D8" s="201"/>
      <c r="E8" s="201"/>
      <c r="F8" s="24"/>
    </row>
    <row r="9" spans="1:6" ht="36" customHeight="1" x14ac:dyDescent="0.2">
      <c r="A9" s="202" t="s">
        <v>142</v>
      </c>
      <c r="B9" s="203"/>
      <c r="C9" s="203"/>
      <c r="D9" s="203"/>
      <c r="E9" s="203"/>
      <c r="F9" s="24"/>
    </row>
    <row r="10" spans="1:6" ht="24.75" customHeight="1" x14ac:dyDescent="0.2">
      <c r="A10" s="199" t="s">
        <v>143</v>
      </c>
      <c r="B10" s="204"/>
      <c r="C10" s="199"/>
      <c r="D10" s="199"/>
      <c r="E10" s="199"/>
      <c r="F10" s="49"/>
    </row>
    <row r="11" spans="1:6" ht="27" customHeight="1" x14ac:dyDescent="0.2">
      <c r="A11" s="37" t="s">
        <v>49</v>
      </c>
      <c r="B11" s="37" t="s">
        <v>144</v>
      </c>
      <c r="C11" s="37" t="s">
        <v>145</v>
      </c>
      <c r="D11" s="37" t="s">
        <v>102</v>
      </c>
      <c r="E11" s="37" t="s">
        <v>76</v>
      </c>
      <c r="F11" s="50"/>
    </row>
    <row r="12" spans="1:6" s="162" customFormat="1" x14ac:dyDescent="0.2">
      <c r="A12" s="114" t="s">
        <v>176</v>
      </c>
      <c r="B12" s="111">
        <f>188.52+0.7+105+408.52+218.21+10+10+40</f>
        <v>980.95</v>
      </c>
      <c r="C12" s="112" t="s">
        <v>177</v>
      </c>
      <c r="D12" s="112" t="s">
        <v>171</v>
      </c>
      <c r="E12" s="113" t="s">
        <v>170</v>
      </c>
      <c r="F12" s="161"/>
    </row>
    <row r="13" spans="1:6" s="89" customFormat="1" x14ac:dyDescent="0.2">
      <c r="A13" s="114" t="s">
        <v>176</v>
      </c>
      <c r="B13" s="111">
        <v>0</v>
      </c>
      <c r="C13" s="112" t="s">
        <v>177</v>
      </c>
      <c r="D13" s="112" t="s">
        <v>185</v>
      </c>
      <c r="E13" s="113" t="s">
        <v>170</v>
      </c>
      <c r="F13" s="164"/>
    </row>
    <row r="14" spans="1:6" s="89" customFormat="1" x14ac:dyDescent="0.2">
      <c r="A14" s="114" t="s">
        <v>176</v>
      </c>
      <c r="B14" s="179">
        <f>68.89+64.69</f>
        <v>133.57999999999998</v>
      </c>
      <c r="C14" s="112" t="s">
        <v>177</v>
      </c>
      <c r="D14" s="112" t="s">
        <v>172</v>
      </c>
      <c r="E14" s="113" t="s">
        <v>170</v>
      </c>
      <c r="F14" s="159"/>
    </row>
    <row r="15" spans="1:6" s="89" customFormat="1" x14ac:dyDescent="0.2">
      <c r="A15" s="114" t="s">
        <v>176</v>
      </c>
      <c r="B15" s="179">
        <v>59.16</v>
      </c>
      <c r="C15" s="112" t="s">
        <v>177</v>
      </c>
      <c r="D15" s="112" t="s">
        <v>210</v>
      </c>
      <c r="E15" s="113" t="s">
        <v>170</v>
      </c>
      <c r="F15" s="159"/>
    </row>
    <row r="16" spans="1:6" s="89" customFormat="1" x14ac:dyDescent="0.2">
      <c r="A16" s="160"/>
      <c r="B16" s="159"/>
      <c r="C16" s="154"/>
      <c r="D16" s="154"/>
      <c r="E16" s="155"/>
      <c r="F16" s="159"/>
    </row>
    <row r="17" spans="1:6" s="89" customFormat="1" ht="12.75" customHeight="1" x14ac:dyDescent="0.2">
      <c r="A17" s="114" t="s">
        <v>180</v>
      </c>
      <c r="B17" s="179">
        <f>1129.23+25+25+40+346.7+957</f>
        <v>2522.9300000000003</v>
      </c>
      <c r="C17" s="112" t="s">
        <v>179</v>
      </c>
      <c r="D17" s="112" t="s">
        <v>171</v>
      </c>
      <c r="E17" s="113" t="s">
        <v>178</v>
      </c>
      <c r="F17" s="159"/>
    </row>
    <row r="18" spans="1:6" s="89" customFormat="1" x14ac:dyDescent="0.2">
      <c r="A18" s="114" t="s">
        <v>180</v>
      </c>
      <c r="B18" s="179">
        <f>291.13+264.83+5+5+5+10-264.83</f>
        <v>316.13000000000005</v>
      </c>
      <c r="C18" s="112" t="s">
        <v>179</v>
      </c>
      <c r="D18" s="112" t="s">
        <v>206</v>
      </c>
      <c r="E18" s="113" t="s">
        <v>178</v>
      </c>
      <c r="F18" s="159"/>
    </row>
    <row r="19" spans="1:6" s="162" customFormat="1" x14ac:dyDescent="0.2">
      <c r="A19" s="114" t="s">
        <v>180</v>
      </c>
      <c r="B19" s="179">
        <f>23.72+14.34+33.45+16.42+27.08</f>
        <v>115.01</v>
      </c>
      <c r="C19" s="112" t="s">
        <v>179</v>
      </c>
      <c r="D19" s="112" t="s">
        <v>205</v>
      </c>
      <c r="E19" s="113" t="s">
        <v>178</v>
      </c>
      <c r="F19" s="159"/>
    </row>
    <row r="20" spans="1:6" s="162" customFormat="1" x14ac:dyDescent="0.2">
      <c r="A20" s="114" t="s">
        <v>180</v>
      </c>
      <c r="B20" s="179">
        <f>(14.06+65.17+10.76+25+46.77+12.97+28.66)</f>
        <v>203.39000000000001</v>
      </c>
      <c r="C20" s="112" t="s">
        <v>179</v>
      </c>
      <c r="D20" s="112" t="s">
        <v>204</v>
      </c>
      <c r="E20" s="113" t="s">
        <v>178</v>
      </c>
      <c r="F20" s="159"/>
    </row>
    <row r="21" spans="1:6" s="162" customFormat="1" x14ac:dyDescent="0.2">
      <c r="A21" s="114" t="s">
        <v>180</v>
      </c>
      <c r="B21" s="179">
        <v>118.26</v>
      </c>
      <c r="C21" s="112" t="s">
        <v>179</v>
      </c>
      <c r="D21" s="112" t="s">
        <v>211</v>
      </c>
      <c r="E21" s="113" t="s">
        <v>178</v>
      </c>
      <c r="F21" s="159"/>
    </row>
    <row r="22" spans="1:6" s="162" customFormat="1" x14ac:dyDescent="0.2">
      <c r="A22" s="165"/>
      <c r="B22" s="159"/>
      <c r="C22" s="154"/>
      <c r="D22" s="154"/>
      <c r="E22" s="155"/>
      <c r="F22" s="161"/>
    </row>
    <row r="23" spans="1:6" s="162" customFormat="1" ht="25.5" x14ac:dyDescent="0.2">
      <c r="A23" s="110" t="s">
        <v>201</v>
      </c>
      <c r="B23" s="179">
        <f>159+5769.71</f>
        <v>5928.71</v>
      </c>
      <c r="C23" s="112" t="s">
        <v>199</v>
      </c>
      <c r="D23" s="112" t="s">
        <v>171</v>
      </c>
      <c r="E23" s="113" t="s">
        <v>200</v>
      </c>
      <c r="F23" s="161"/>
    </row>
    <row r="24" spans="1:6" s="162" customFormat="1" ht="25.5" x14ac:dyDescent="0.2">
      <c r="A24" s="110" t="s">
        <v>201</v>
      </c>
      <c r="B24" s="176">
        <f>446.18+4063.82</f>
        <v>4510</v>
      </c>
      <c r="C24" s="112" t="s">
        <v>199</v>
      </c>
      <c r="D24" s="112" t="s">
        <v>251</v>
      </c>
      <c r="E24" s="113" t="s">
        <v>200</v>
      </c>
    </row>
    <row r="25" spans="1:6" s="162" customFormat="1" ht="25.5" x14ac:dyDescent="0.2">
      <c r="A25" s="110" t="s">
        <v>201</v>
      </c>
      <c r="B25" s="179">
        <f>191.2+245.19+117.08</f>
        <v>553.47</v>
      </c>
      <c r="C25" s="112" t="s">
        <v>199</v>
      </c>
      <c r="D25" s="112" t="s">
        <v>299</v>
      </c>
      <c r="E25" s="113" t="s">
        <v>200</v>
      </c>
      <c r="F25" s="159"/>
    </row>
    <row r="26" spans="1:6" s="162" customFormat="1" ht="25.5" x14ac:dyDescent="0.2">
      <c r="A26" s="110" t="s">
        <v>201</v>
      </c>
      <c r="B26" s="179">
        <f>62.38+156.73</f>
        <v>219.10999999999999</v>
      </c>
      <c r="C26" s="112" t="s">
        <v>199</v>
      </c>
      <c r="D26" s="112" t="s">
        <v>250</v>
      </c>
      <c r="E26" s="113" t="s">
        <v>200</v>
      </c>
      <c r="F26" s="159"/>
    </row>
    <row r="27" spans="1:6" s="162" customFormat="1" ht="25.5" x14ac:dyDescent="0.2">
      <c r="A27" s="110" t="s">
        <v>201</v>
      </c>
      <c r="B27" s="179">
        <f>94.17</f>
        <v>94.17</v>
      </c>
      <c r="C27" s="112" t="s">
        <v>199</v>
      </c>
      <c r="D27" s="112" t="s">
        <v>256</v>
      </c>
      <c r="E27" s="113" t="s">
        <v>200</v>
      </c>
      <c r="F27" s="159"/>
    </row>
    <row r="28" spans="1:6" s="162" customFormat="1" x14ac:dyDescent="0.2">
      <c r="A28" s="170"/>
      <c r="B28" s="159"/>
      <c r="C28" s="154"/>
      <c r="D28" s="154"/>
      <c r="E28" s="155"/>
      <c r="F28" s="159"/>
    </row>
    <row r="29" spans="1:6" s="162" customFormat="1" x14ac:dyDescent="0.2">
      <c r="A29" s="157" t="s">
        <v>263</v>
      </c>
      <c r="B29" s="179">
        <f>173.04+5</f>
        <v>178.04</v>
      </c>
      <c r="C29" s="112" t="s">
        <v>276</v>
      </c>
      <c r="D29" s="112" t="s">
        <v>275</v>
      </c>
      <c r="E29" s="113" t="s">
        <v>191</v>
      </c>
      <c r="F29" s="188"/>
    </row>
    <row r="30" spans="1:6" s="162" customFormat="1" x14ac:dyDescent="0.2">
      <c r="A30" s="157" t="s">
        <v>263</v>
      </c>
      <c r="B30" s="179">
        <f>162.74+5</f>
        <v>167.74</v>
      </c>
      <c r="C30" s="112" t="s">
        <v>265</v>
      </c>
      <c r="D30" s="112" t="s">
        <v>249</v>
      </c>
      <c r="E30" s="113" t="s">
        <v>264</v>
      </c>
      <c r="F30" s="188"/>
    </row>
    <row r="31" spans="1:6" s="162" customFormat="1" x14ac:dyDescent="0.2">
      <c r="A31" s="157" t="s">
        <v>263</v>
      </c>
      <c r="B31" s="179">
        <f>240.17+16</f>
        <v>256.16999999999996</v>
      </c>
      <c r="C31" s="112" t="s">
        <v>265</v>
      </c>
      <c r="D31" s="112" t="s">
        <v>284</v>
      </c>
      <c r="E31" s="113" t="s">
        <v>191</v>
      </c>
      <c r="F31" s="188"/>
    </row>
    <row r="32" spans="1:6" s="162" customFormat="1" x14ac:dyDescent="0.2">
      <c r="A32" s="157" t="s">
        <v>263</v>
      </c>
      <c r="B32" s="179">
        <f>346.71+401.62</f>
        <v>748.32999999999993</v>
      </c>
      <c r="C32" s="112" t="s">
        <v>265</v>
      </c>
      <c r="D32" s="112" t="s">
        <v>285</v>
      </c>
      <c r="E32" s="113" t="s">
        <v>264</v>
      </c>
      <c r="F32" s="188"/>
    </row>
    <row r="33" spans="1:6" s="162" customFormat="1" x14ac:dyDescent="0.2">
      <c r="A33" s="157" t="s">
        <v>263</v>
      </c>
      <c r="B33" s="179">
        <f>47.7+5</f>
        <v>52.7</v>
      </c>
      <c r="C33" s="112" t="s">
        <v>276</v>
      </c>
      <c r="D33" s="112" t="s">
        <v>266</v>
      </c>
      <c r="E33" s="113" t="s">
        <v>191</v>
      </c>
      <c r="F33" s="188"/>
    </row>
    <row r="34" spans="1:6" s="162" customFormat="1" x14ac:dyDescent="0.2">
      <c r="A34" s="157" t="s">
        <v>263</v>
      </c>
      <c r="B34" s="176">
        <f>19.69+12.58+31.36+87.04+12.95+19.39</f>
        <v>183.01</v>
      </c>
      <c r="C34" s="112" t="s">
        <v>276</v>
      </c>
      <c r="D34" s="112" t="s">
        <v>297</v>
      </c>
      <c r="E34" s="113" t="s">
        <v>264</v>
      </c>
      <c r="F34" s="184"/>
    </row>
    <row r="35" spans="1:6" s="162" customFormat="1" x14ac:dyDescent="0.2">
      <c r="A35" s="157" t="s">
        <v>263</v>
      </c>
      <c r="B35" s="176">
        <f>20.87+9.55+34.62+12.2</f>
        <v>77.239999999999995</v>
      </c>
      <c r="C35" s="112" t="s">
        <v>276</v>
      </c>
      <c r="D35" s="112" t="s">
        <v>169</v>
      </c>
      <c r="E35" s="113" t="s">
        <v>264</v>
      </c>
      <c r="F35" s="184"/>
    </row>
    <row r="36" spans="1:6" s="162" customFormat="1" x14ac:dyDescent="0.2">
      <c r="A36" s="189"/>
      <c r="B36" s="184"/>
      <c r="C36" s="186"/>
      <c r="D36" s="186"/>
      <c r="E36" s="187"/>
      <c r="F36" s="1"/>
    </row>
    <row r="37" spans="1:6" s="162" customFormat="1" x14ac:dyDescent="0.2">
      <c r="A37" s="157">
        <v>43903</v>
      </c>
      <c r="B37" s="179">
        <f>168.35+5</f>
        <v>173.35</v>
      </c>
      <c r="C37" s="112" t="s">
        <v>277</v>
      </c>
      <c r="D37" s="112" t="s">
        <v>278</v>
      </c>
      <c r="E37" s="113" t="s">
        <v>269</v>
      </c>
      <c r="F37" s="1"/>
    </row>
    <row r="38" spans="1:6" s="162" customFormat="1" x14ac:dyDescent="0.2">
      <c r="A38" s="157">
        <v>43903</v>
      </c>
      <c r="B38" s="179">
        <f>207.93+5</f>
        <v>212.93</v>
      </c>
      <c r="C38" s="112" t="s">
        <v>277</v>
      </c>
      <c r="D38" s="112" t="s">
        <v>278</v>
      </c>
      <c r="E38" s="113" t="s">
        <v>264</v>
      </c>
      <c r="F38" s="1"/>
    </row>
    <row r="39" spans="1:6" s="162" customFormat="1" x14ac:dyDescent="0.2">
      <c r="A39" s="157">
        <v>43902</v>
      </c>
      <c r="B39" s="179">
        <f>1435.73+16+10+248.79-457.42</f>
        <v>1253.0999999999999</v>
      </c>
      <c r="C39" s="112" t="s">
        <v>277</v>
      </c>
      <c r="D39" s="112" t="s">
        <v>286</v>
      </c>
      <c r="E39" s="113"/>
      <c r="F39" s="1"/>
    </row>
    <row r="40" spans="1:6" s="162" customFormat="1" x14ac:dyDescent="0.2">
      <c r="A40" s="170"/>
      <c r="B40" s="164"/>
      <c r="C40" s="154"/>
      <c r="D40" s="154"/>
      <c r="E40" s="155"/>
      <c r="F40" s="161"/>
    </row>
    <row r="41" spans="1:6" s="89" customFormat="1" x14ac:dyDescent="0.2">
      <c r="A41" s="122"/>
      <c r="B41" s="123"/>
      <c r="C41" s="124"/>
      <c r="D41" s="124"/>
      <c r="E41" s="125"/>
      <c r="F41" s="1"/>
    </row>
    <row r="42" spans="1:6" ht="19.5" customHeight="1" x14ac:dyDescent="0.2">
      <c r="A42" s="126" t="s">
        <v>154</v>
      </c>
      <c r="B42" s="127">
        <f>SUM(B12:B41)</f>
        <v>19057.48</v>
      </c>
      <c r="C42" s="128" t="str">
        <f>IF(SUBTOTAL(3,B12:B41)=SUBTOTAL(103,B12:B41),'Summary and sign-off'!$A$47,'Summary and sign-off'!$A$48)</f>
        <v>Check - there are no hidden rows with data</v>
      </c>
      <c r="D42" s="198" t="str">
        <f>IF('Summary and sign-off'!F54='Summary and sign-off'!F53,'Summary and sign-off'!A50,'Summary and sign-off'!A49)</f>
        <v>Check - each entry provides sufficient information</v>
      </c>
      <c r="E42" s="198"/>
      <c r="F42" s="48"/>
    </row>
    <row r="43" spans="1:6" ht="10.5" customHeight="1" x14ac:dyDescent="0.2">
      <c r="A43" s="29"/>
      <c r="B43" s="24"/>
      <c r="C43" s="29"/>
      <c r="D43" s="29"/>
      <c r="E43" s="29"/>
      <c r="F43" s="29"/>
    </row>
    <row r="44" spans="1:6" ht="24.75" customHeight="1" x14ac:dyDescent="0.2">
      <c r="A44" s="199" t="s">
        <v>92</v>
      </c>
      <c r="B44" s="199"/>
      <c r="C44" s="199"/>
      <c r="D44" s="199"/>
      <c r="E44" s="199"/>
      <c r="F44" s="49"/>
    </row>
    <row r="45" spans="1:6" ht="27" customHeight="1" x14ac:dyDescent="0.2">
      <c r="A45" s="37" t="s">
        <v>49</v>
      </c>
      <c r="B45" s="37" t="s">
        <v>31</v>
      </c>
      <c r="C45" s="37" t="s">
        <v>146</v>
      </c>
      <c r="D45" s="37" t="s">
        <v>102</v>
      </c>
      <c r="E45" s="37" t="s">
        <v>76</v>
      </c>
      <c r="F45" s="50"/>
    </row>
    <row r="46" spans="1:6" s="89" customFormat="1" x14ac:dyDescent="0.2">
      <c r="A46" s="180">
        <v>43669</v>
      </c>
      <c r="B46" s="176">
        <v>45.8</v>
      </c>
      <c r="C46" s="176" t="s">
        <v>186</v>
      </c>
      <c r="D46" s="176" t="s">
        <v>212</v>
      </c>
      <c r="E46" s="176" t="s">
        <v>191</v>
      </c>
    </row>
    <row r="47" spans="1:6" s="89" customFormat="1" x14ac:dyDescent="0.2">
      <c r="A47" s="177">
        <v>43669</v>
      </c>
    </row>
    <row r="48" spans="1:6" s="89" customFormat="1" x14ac:dyDescent="0.2">
      <c r="A48" s="166"/>
      <c r="B48" s="159"/>
      <c r="C48" s="154"/>
      <c r="D48" s="154"/>
      <c r="E48" s="155"/>
      <c r="F48" s="1"/>
    </row>
    <row r="49" spans="1:6" s="89" customFormat="1" x14ac:dyDescent="0.2">
      <c r="A49" s="178">
        <v>43693</v>
      </c>
      <c r="B49" s="111">
        <v>15</v>
      </c>
      <c r="C49" s="112" t="s">
        <v>213</v>
      </c>
      <c r="D49" s="112" t="s">
        <v>171</v>
      </c>
      <c r="E49" s="113" t="s">
        <v>183</v>
      </c>
      <c r="F49" s="1"/>
    </row>
    <row r="50" spans="1:6" s="89" customFormat="1" x14ac:dyDescent="0.2">
      <c r="A50" s="166"/>
      <c r="B50" s="159"/>
      <c r="C50" s="154"/>
      <c r="D50" s="154"/>
      <c r="E50" s="155"/>
      <c r="F50" s="1"/>
    </row>
    <row r="51" spans="1:6" s="89" customFormat="1" x14ac:dyDescent="0.2">
      <c r="A51" s="178">
        <v>43704</v>
      </c>
      <c r="B51" s="179">
        <v>359.83</v>
      </c>
      <c r="C51" s="112" t="s">
        <v>190</v>
      </c>
      <c r="D51" s="112" t="s">
        <v>171</v>
      </c>
      <c r="E51" s="113" t="s">
        <v>191</v>
      </c>
      <c r="F51" s="1"/>
    </row>
    <row r="52" spans="1:6" s="162" customFormat="1" x14ac:dyDescent="0.2">
      <c r="A52" s="178">
        <v>43704</v>
      </c>
      <c r="B52" s="179">
        <v>29.57</v>
      </c>
      <c r="C52" s="112" t="s">
        <v>190</v>
      </c>
      <c r="D52" s="112" t="s">
        <v>192</v>
      </c>
      <c r="E52" s="113" t="s">
        <v>188</v>
      </c>
      <c r="F52" s="161"/>
    </row>
    <row r="53" spans="1:6" s="89" customFormat="1" x14ac:dyDescent="0.2">
      <c r="A53" s="166"/>
      <c r="B53" s="159"/>
      <c r="C53" s="154"/>
      <c r="D53" s="154"/>
      <c r="E53" s="155"/>
      <c r="F53" s="1"/>
    </row>
    <row r="54" spans="1:6" s="89" customFormat="1" x14ac:dyDescent="0.2">
      <c r="A54" s="178" t="s">
        <v>193</v>
      </c>
      <c r="B54" s="179">
        <v>351.21</v>
      </c>
      <c r="C54" s="112" t="s">
        <v>207</v>
      </c>
      <c r="D54" s="112" t="s">
        <v>171</v>
      </c>
      <c r="E54" s="113" t="s">
        <v>191</v>
      </c>
      <c r="F54" s="1"/>
    </row>
    <row r="55" spans="1:6" s="89" customFormat="1" x14ac:dyDescent="0.2">
      <c r="A55" s="178" t="s">
        <v>193</v>
      </c>
      <c r="B55" s="179">
        <f>107.17+5</f>
        <v>112.17</v>
      </c>
      <c r="C55" s="112" t="s">
        <v>207</v>
      </c>
      <c r="D55" s="112" t="s">
        <v>168</v>
      </c>
      <c r="E55" s="113" t="s">
        <v>191</v>
      </c>
      <c r="F55" s="1"/>
    </row>
    <row r="56" spans="1:6" s="162" customFormat="1" x14ac:dyDescent="0.2">
      <c r="A56" s="178" t="s">
        <v>193</v>
      </c>
      <c r="B56" s="179">
        <f>41.83+47.44+25.04+34.87</f>
        <v>149.18</v>
      </c>
      <c r="C56" s="112" t="s">
        <v>207</v>
      </c>
      <c r="D56" s="112" t="s">
        <v>258</v>
      </c>
      <c r="E56" s="113" t="s">
        <v>191</v>
      </c>
      <c r="F56" s="159"/>
    </row>
    <row r="57" spans="1:6" s="162" customFormat="1" x14ac:dyDescent="0.2">
      <c r="A57" s="178" t="s">
        <v>193</v>
      </c>
      <c r="B57" s="179">
        <v>19.48</v>
      </c>
      <c r="C57" s="112" t="s">
        <v>207</v>
      </c>
      <c r="D57" s="112" t="s">
        <v>169</v>
      </c>
      <c r="E57" s="113" t="s">
        <v>191</v>
      </c>
      <c r="F57" s="159"/>
    </row>
    <row r="58" spans="1:6" s="162" customFormat="1" x14ac:dyDescent="0.2">
      <c r="A58" s="166"/>
      <c r="B58" s="159"/>
      <c r="C58" s="154"/>
      <c r="D58" s="154"/>
      <c r="E58" s="155"/>
      <c r="F58" s="161"/>
    </row>
    <row r="59" spans="1:6" s="89" customFormat="1" x14ac:dyDescent="0.2">
      <c r="A59" s="178" t="s">
        <v>236</v>
      </c>
      <c r="B59" s="179">
        <f>239.31+257.39+10+10+10+103.3</f>
        <v>630</v>
      </c>
      <c r="C59" s="112" t="s">
        <v>301</v>
      </c>
      <c r="D59" s="112" t="s">
        <v>171</v>
      </c>
      <c r="E59" s="113" t="s">
        <v>191</v>
      </c>
      <c r="F59" s="161"/>
    </row>
    <row r="60" spans="1:6" s="89" customFormat="1" x14ac:dyDescent="0.2">
      <c r="A60" s="178" t="s">
        <v>237</v>
      </c>
      <c r="B60" s="179">
        <f>193.04+5</f>
        <v>198.04</v>
      </c>
      <c r="C60" s="112" t="s">
        <v>301</v>
      </c>
      <c r="D60" s="112" t="s">
        <v>168</v>
      </c>
      <c r="E60" s="113" t="s">
        <v>191</v>
      </c>
      <c r="F60" s="161"/>
    </row>
    <row r="61" spans="1:6" s="162" customFormat="1" x14ac:dyDescent="0.2">
      <c r="A61" s="178" t="s">
        <v>238</v>
      </c>
      <c r="B61" s="179">
        <f>76.13+5</f>
        <v>81.13</v>
      </c>
      <c r="C61" s="112" t="s">
        <v>301</v>
      </c>
      <c r="D61" s="112" t="s">
        <v>216</v>
      </c>
      <c r="E61" s="113" t="s">
        <v>191</v>
      </c>
      <c r="F61" s="161"/>
    </row>
    <row r="62" spans="1:6" s="162" customFormat="1" x14ac:dyDescent="0.2">
      <c r="A62" s="178" t="s">
        <v>239</v>
      </c>
      <c r="B62" s="179">
        <v>6.52</v>
      </c>
      <c r="C62" s="112" t="s">
        <v>301</v>
      </c>
      <c r="D62" s="112" t="s">
        <v>215</v>
      </c>
      <c r="E62" s="113" t="s">
        <v>191</v>
      </c>
      <c r="F62" s="159"/>
    </row>
    <row r="63" spans="1:6" s="162" customFormat="1" x14ac:dyDescent="0.2">
      <c r="A63" s="178" t="s">
        <v>240</v>
      </c>
      <c r="B63" s="179">
        <f>42.87+31.39</f>
        <v>74.259999999999991</v>
      </c>
      <c r="C63" s="112" t="s">
        <v>301</v>
      </c>
      <c r="D63" s="112" t="s">
        <v>172</v>
      </c>
      <c r="E63" s="113" t="s">
        <v>188</v>
      </c>
      <c r="F63" s="159"/>
    </row>
    <row r="64" spans="1:6" s="162" customFormat="1" x14ac:dyDescent="0.2">
      <c r="A64" s="178" t="s">
        <v>241</v>
      </c>
      <c r="B64" s="179">
        <v>11.3</v>
      </c>
      <c r="C64" s="112" t="s">
        <v>301</v>
      </c>
      <c r="D64" s="112" t="s">
        <v>217</v>
      </c>
      <c r="E64" s="113" t="s">
        <v>191</v>
      </c>
      <c r="F64" s="159"/>
    </row>
    <row r="65" spans="1:6" s="162" customFormat="1" x14ac:dyDescent="0.2">
      <c r="A65" s="166"/>
      <c r="B65" s="159"/>
      <c r="C65" s="154"/>
      <c r="D65" s="154"/>
      <c r="E65" s="155"/>
      <c r="F65" s="159"/>
    </row>
    <row r="66" spans="1:6" s="162" customFormat="1" x14ac:dyDescent="0.2">
      <c r="A66" s="178">
        <v>43731</v>
      </c>
      <c r="B66" s="179">
        <f>454.52+51.65+10+73.17+10</f>
        <v>599.33999999999992</v>
      </c>
      <c r="C66" s="112" t="s">
        <v>218</v>
      </c>
      <c r="D66" s="112" t="s">
        <v>171</v>
      </c>
      <c r="E66" s="113" t="s">
        <v>191</v>
      </c>
      <c r="F66" s="161"/>
    </row>
    <row r="67" spans="1:6" s="162" customFormat="1" x14ac:dyDescent="0.2">
      <c r="A67" s="178">
        <v>43731</v>
      </c>
      <c r="B67" s="179">
        <v>29.57</v>
      </c>
      <c r="C67" s="112" t="s">
        <v>218</v>
      </c>
      <c r="D67" s="112" t="s">
        <v>255</v>
      </c>
      <c r="E67" s="113" t="s">
        <v>191</v>
      </c>
      <c r="F67" s="161"/>
    </row>
    <row r="68" spans="1:6" s="162" customFormat="1" x14ac:dyDescent="0.2">
      <c r="A68" s="166"/>
      <c r="B68" s="159"/>
      <c r="C68" s="154"/>
      <c r="D68" s="154"/>
      <c r="E68" s="155"/>
      <c r="F68" s="161"/>
    </row>
    <row r="69" spans="1:6" s="162" customFormat="1" x14ac:dyDescent="0.2">
      <c r="A69" s="166"/>
      <c r="B69" s="159"/>
      <c r="C69" s="154"/>
      <c r="D69" s="154"/>
      <c r="E69" s="155"/>
      <c r="F69" s="161"/>
    </row>
    <row r="70" spans="1:6" s="162" customFormat="1" x14ac:dyDescent="0.2">
      <c r="A70" s="178">
        <v>43734</v>
      </c>
      <c r="B70" s="179">
        <f>454.52+10</f>
        <v>464.52</v>
      </c>
      <c r="C70" s="112" t="s">
        <v>219</v>
      </c>
      <c r="D70" s="112" t="s">
        <v>171</v>
      </c>
      <c r="E70" s="113" t="s">
        <v>191</v>
      </c>
      <c r="F70" s="161"/>
    </row>
    <row r="71" spans="1:6" s="162" customFormat="1" x14ac:dyDescent="0.2">
      <c r="A71" s="178">
        <v>43734</v>
      </c>
      <c r="B71" s="179">
        <v>29.57</v>
      </c>
      <c r="C71" s="112" t="s">
        <v>219</v>
      </c>
      <c r="D71" s="112" t="s">
        <v>255</v>
      </c>
      <c r="E71" s="113" t="s">
        <v>191</v>
      </c>
      <c r="F71" s="161"/>
    </row>
    <row r="72" spans="1:6" s="89" customFormat="1" x14ac:dyDescent="0.2">
      <c r="A72" s="166"/>
      <c r="B72" s="159"/>
      <c r="C72" s="154"/>
      <c r="D72" s="154"/>
      <c r="E72" s="155"/>
      <c r="F72" s="1"/>
    </row>
    <row r="73" spans="1:6" s="89" customFormat="1" x14ac:dyDescent="0.2">
      <c r="A73" s="178" t="s">
        <v>194</v>
      </c>
      <c r="B73" s="179">
        <f>(16+10+851.39+10+10+10)+(16+10+10+643.05+10+10)</f>
        <v>1606.44</v>
      </c>
      <c r="C73" s="112" t="s">
        <v>214</v>
      </c>
      <c r="D73" s="112" t="s">
        <v>196</v>
      </c>
      <c r="E73" s="181" t="s">
        <v>198</v>
      </c>
      <c r="F73" s="1"/>
    </row>
    <row r="74" spans="1:6" s="89" customFormat="1" x14ac:dyDescent="0.2">
      <c r="A74" s="178" t="s">
        <v>194</v>
      </c>
      <c r="B74" s="179">
        <f>21.22+24.78</f>
        <v>46</v>
      </c>
      <c r="C74" s="112" t="s">
        <v>195</v>
      </c>
      <c r="D74" s="112" t="s">
        <v>172</v>
      </c>
      <c r="E74" s="181" t="s">
        <v>198</v>
      </c>
      <c r="F74" s="159"/>
    </row>
    <row r="75" spans="1:6" s="89" customFormat="1" x14ac:dyDescent="0.2">
      <c r="A75" s="178" t="s">
        <v>194</v>
      </c>
      <c r="B75" s="179">
        <v>11.3</v>
      </c>
      <c r="C75" s="112" t="s">
        <v>195</v>
      </c>
      <c r="D75" s="112" t="s">
        <v>169</v>
      </c>
      <c r="E75" s="181" t="s">
        <v>198</v>
      </c>
      <c r="F75" s="159"/>
    </row>
    <row r="76" spans="1:6" s="89" customFormat="1" ht="25.5" x14ac:dyDescent="0.2">
      <c r="A76" s="178" t="s">
        <v>194</v>
      </c>
      <c r="B76" s="179">
        <f>204.87+5+162.61+5+5+220.87</f>
        <v>603.35</v>
      </c>
      <c r="C76" s="112" t="s">
        <v>195</v>
      </c>
      <c r="D76" s="112" t="s">
        <v>249</v>
      </c>
      <c r="E76" s="113" t="s">
        <v>198</v>
      </c>
      <c r="F76" s="159"/>
    </row>
    <row r="77" spans="1:6" s="89" customFormat="1" ht="25.5" x14ac:dyDescent="0.2">
      <c r="A77" s="178" t="s">
        <v>194</v>
      </c>
      <c r="B77" s="179">
        <f>71.82+5</f>
        <v>76.819999999999993</v>
      </c>
      <c r="C77" s="112" t="s">
        <v>195</v>
      </c>
      <c r="D77" s="112" t="s">
        <v>197</v>
      </c>
      <c r="E77" s="113" t="s">
        <v>198</v>
      </c>
      <c r="F77" s="159"/>
    </row>
    <row r="78" spans="1:6" s="89" customFormat="1" ht="25.5" x14ac:dyDescent="0.2">
      <c r="A78" s="178" t="s">
        <v>194</v>
      </c>
      <c r="B78" s="179">
        <v>29.58</v>
      </c>
      <c r="C78" s="112" t="s">
        <v>195</v>
      </c>
      <c r="D78" s="112" t="s">
        <v>255</v>
      </c>
      <c r="E78" s="113" t="s">
        <v>198</v>
      </c>
      <c r="F78" s="159"/>
    </row>
    <row r="79" spans="1:6" s="89" customFormat="1" x14ac:dyDescent="0.2">
      <c r="A79" s="166"/>
      <c r="B79" s="159"/>
      <c r="C79" s="154"/>
      <c r="D79" s="154"/>
      <c r="E79" s="155"/>
      <c r="F79" s="159"/>
    </row>
    <row r="80" spans="1:6" s="89" customFormat="1" x14ac:dyDescent="0.2">
      <c r="A80" s="178">
        <v>43749</v>
      </c>
      <c r="B80" s="179">
        <f>25.82+636.17+10+10</f>
        <v>681.99</v>
      </c>
      <c r="C80" s="112" t="s">
        <v>220</v>
      </c>
      <c r="D80" s="112" t="s">
        <v>171</v>
      </c>
      <c r="E80" s="113" t="s">
        <v>191</v>
      </c>
      <c r="F80" s="159"/>
    </row>
    <row r="81" spans="1:6" s="89" customFormat="1" x14ac:dyDescent="0.2">
      <c r="A81" s="178">
        <v>43749</v>
      </c>
      <c r="B81" s="179">
        <v>13.04</v>
      </c>
      <c r="C81" s="112" t="s">
        <v>220</v>
      </c>
      <c r="D81" s="112" t="s">
        <v>172</v>
      </c>
      <c r="E81" s="113" t="s">
        <v>188</v>
      </c>
      <c r="F81" s="159"/>
    </row>
    <row r="82" spans="1:6" s="89" customFormat="1" x14ac:dyDescent="0.2">
      <c r="A82" s="178">
        <v>43749</v>
      </c>
      <c r="B82" s="179">
        <f>56.01+5</f>
        <v>61.01</v>
      </c>
      <c r="C82" s="112" t="s">
        <v>220</v>
      </c>
      <c r="D82" s="112" t="s">
        <v>216</v>
      </c>
      <c r="E82" s="113" t="s">
        <v>191</v>
      </c>
      <c r="F82" s="1"/>
    </row>
    <row r="83" spans="1:6" s="89" customFormat="1" x14ac:dyDescent="0.2">
      <c r="A83" s="178">
        <v>43749</v>
      </c>
      <c r="B83" s="179">
        <f>36/1.15</f>
        <v>31.304347826086961</v>
      </c>
      <c r="C83" s="112" t="s">
        <v>220</v>
      </c>
      <c r="D83" s="112" t="s">
        <v>192</v>
      </c>
      <c r="E83" s="113" t="s">
        <v>188</v>
      </c>
      <c r="F83" s="1"/>
    </row>
    <row r="84" spans="1:6" s="89" customFormat="1" x14ac:dyDescent="0.2">
      <c r="A84" s="166"/>
      <c r="B84" s="159"/>
      <c r="C84" s="154"/>
      <c r="D84" s="154"/>
      <c r="E84" s="155"/>
      <c r="F84" s="1"/>
    </row>
    <row r="85" spans="1:6" s="89" customFormat="1" x14ac:dyDescent="0.2">
      <c r="A85" s="178" t="s">
        <v>221</v>
      </c>
      <c r="B85" s="179">
        <f>-359.83+10+10+789.39+359.83</f>
        <v>809.39</v>
      </c>
      <c r="C85" s="112" t="s">
        <v>222</v>
      </c>
      <c r="D85" s="112" t="s">
        <v>171</v>
      </c>
      <c r="E85" s="113" t="s">
        <v>223</v>
      </c>
      <c r="F85" s="1"/>
    </row>
    <row r="86" spans="1:6" s="89" customFormat="1" x14ac:dyDescent="0.2">
      <c r="A86" s="178" t="s">
        <v>221</v>
      </c>
      <c r="B86" s="179">
        <f>66.96+90.2</f>
        <v>157.16</v>
      </c>
      <c r="C86" s="112" t="s">
        <v>222</v>
      </c>
      <c r="D86" s="112" t="s">
        <v>260</v>
      </c>
      <c r="E86" s="113" t="s">
        <v>191</v>
      </c>
      <c r="F86" s="159"/>
    </row>
    <row r="87" spans="1:6" s="89" customFormat="1" x14ac:dyDescent="0.2">
      <c r="A87" s="178" t="s">
        <v>221</v>
      </c>
      <c r="B87" s="179">
        <f>5+380.09</f>
        <v>385.09</v>
      </c>
      <c r="C87" s="112" t="s">
        <v>222</v>
      </c>
      <c r="D87" s="112" t="s">
        <v>168</v>
      </c>
      <c r="E87" s="113" t="s">
        <v>191</v>
      </c>
      <c r="F87" s="1"/>
    </row>
    <row r="88" spans="1:6" s="89" customFormat="1" x14ac:dyDescent="0.2">
      <c r="A88" s="178" t="s">
        <v>221</v>
      </c>
      <c r="B88" s="179">
        <f>72/1.15</f>
        <v>62.608695652173921</v>
      </c>
      <c r="C88" s="112" t="s">
        <v>222</v>
      </c>
      <c r="D88" s="112" t="s">
        <v>255</v>
      </c>
      <c r="E88" s="113" t="s">
        <v>191</v>
      </c>
      <c r="F88" s="1"/>
    </row>
    <row r="89" spans="1:6" s="89" customFormat="1" x14ac:dyDescent="0.2">
      <c r="A89" s="166"/>
      <c r="B89" s="159"/>
      <c r="C89" s="154"/>
      <c r="D89" s="154"/>
      <c r="E89" s="155"/>
      <c r="F89" s="1"/>
    </row>
    <row r="90" spans="1:6" s="89" customFormat="1" x14ac:dyDescent="0.2">
      <c r="A90" s="178">
        <v>43756</v>
      </c>
      <c r="B90" s="179">
        <f>552.68+54.23+10</f>
        <v>616.91</v>
      </c>
      <c r="C90" s="112" t="s">
        <v>224</v>
      </c>
      <c r="D90" s="112" t="s">
        <v>171</v>
      </c>
      <c r="E90" s="113" t="s">
        <v>225</v>
      </c>
      <c r="F90" s="1"/>
    </row>
    <row r="91" spans="1:6" s="89" customFormat="1" x14ac:dyDescent="0.2">
      <c r="A91" s="178">
        <v>43756</v>
      </c>
      <c r="B91" s="179">
        <f>47.7+5</f>
        <v>52.7</v>
      </c>
      <c r="C91" s="112" t="s">
        <v>224</v>
      </c>
      <c r="D91" s="112" t="s">
        <v>216</v>
      </c>
      <c r="E91" s="113" t="s">
        <v>226</v>
      </c>
      <c r="F91" s="1"/>
    </row>
    <row r="92" spans="1:6" s="89" customFormat="1" x14ac:dyDescent="0.2">
      <c r="A92" s="178">
        <v>43756</v>
      </c>
      <c r="B92" s="179">
        <v>31.31</v>
      </c>
      <c r="C92" s="112" t="s">
        <v>224</v>
      </c>
      <c r="D92" s="112" t="s">
        <v>255</v>
      </c>
      <c r="E92" s="113" t="s">
        <v>188</v>
      </c>
      <c r="F92" s="1"/>
    </row>
    <row r="93" spans="1:6" s="89" customFormat="1" x14ac:dyDescent="0.2">
      <c r="A93" s="166"/>
      <c r="B93" s="159"/>
      <c r="C93" s="154"/>
      <c r="D93" s="154"/>
      <c r="E93" s="155"/>
      <c r="F93" s="1"/>
    </row>
    <row r="94" spans="1:6" s="89" customFormat="1" x14ac:dyDescent="0.2">
      <c r="A94" s="178">
        <v>43781</v>
      </c>
      <c r="B94" s="179">
        <f>428.7+10</f>
        <v>438.7</v>
      </c>
      <c r="C94" s="112" t="s">
        <v>229</v>
      </c>
      <c r="D94" s="112" t="s">
        <v>171</v>
      </c>
      <c r="E94" s="113" t="s">
        <v>230</v>
      </c>
      <c r="F94" s="161"/>
    </row>
    <row r="95" spans="1:6" s="89" customFormat="1" x14ac:dyDescent="0.2">
      <c r="A95" s="178">
        <v>43781</v>
      </c>
      <c r="B95" s="176">
        <f>42.26+36.78</f>
        <v>79.039999999999992</v>
      </c>
      <c r="C95" s="112" t="s">
        <v>229</v>
      </c>
      <c r="D95" s="112" t="s">
        <v>260</v>
      </c>
      <c r="E95" s="113" t="s">
        <v>230</v>
      </c>
      <c r="F95" s="161"/>
    </row>
    <row r="96" spans="1:6" s="89" customFormat="1" x14ac:dyDescent="0.2">
      <c r="A96" s="166"/>
      <c r="B96" s="159"/>
      <c r="C96" s="154"/>
      <c r="D96" s="154"/>
      <c r="E96" s="155"/>
      <c r="F96" s="1"/>
    </row>
    <row r="97" spans="1:6" s="89" customFormat="1" x14ac:dyDescent="0.2">
      <c r="A97" s="178" t="s">
        <v>231</v>
      </c>
      <c r="B97" s="179">
        <f>626.7+10+10+36.16+47.7+5</f>
        <v>735.56000000000006</v>
      </c>
      <c r="C97" s="112" t="s">
        <v>253</v>
      </c>
      <c r="D97" s="112" t="s">
        <v>171</v>
      </c>
      <c r="E97" s="113" t="s">
        <v>191</v>
      </c>
      <c r="F97" s="1"/>
    </row>
    <row r="98" spans="1:6" s="89" customFormat="1" x14ac:dyDescent="0.2">
      <c r="A98" s="178" t="s">
        <v>231</v>
      </c>
      <c r="B98" s="179">
        <f>260.87+5</f>
        <v>265.87</v>
      </c>
      <c r="C98" s="112" t="s">
        <v>253</v>
      </c>
      <c r="D98" s="112" t="s">
        <v>168</v>
      </c>
      <c r="E98" s="113" t="s">
        <v>191</v>
      </c>
      <c r="F98" s="1"/>
    </row>
    <row r="99" spans="1:6" s="89" customFormat="1" x14ac:dyDescent="0.2">
      <c r="A99" s="178" t="s">
        <v>231</v>
      </c>
      <c r="B99" s="176">
        <v>11.3</v>
      </c>
      <c r="C99" s="112" t="s">
        <v>253</v>
      </c>
      <c r="D99" s="112" t="s">
        <v>169</v>
      </c>
      <c r="E99" s="113" t="s">
        <v>191</v>
      </c>
      <c r="F99" s="1"/>
    </row>
    <row r="100" spans="1:6" s="89" customFormat="1" x14ac:dyDescent="0.2">
      <c r="A100" s="178" t="s">
        <v>231</v>
      </c>
      <c r="B100" s="176">
        <v>48.7</v>
      </c>
      <c r="C100" s="112" t="s">
        <v>253</v>
      </c>
      <c r="D100" s="112" t="s">
        <v>283</v>
      </c>
      <c r="E100" s="113" t="s">
        <v>191</v>
      </c>
      <c r="F100" s="1"/>
    </row>
    <row r="101" spans="1:6" s="89" customFormat="1" x14ac:dyDescent="0.2">
      <c r="A101" s="166"/>
      <c r="B101" s="159"/>
      <c r="C101" s="154"/>
      <c r="D101" s="154"/>
      <c r="E101" s="155"/>
      <c r="F101" s="1"/>
    </row>
    <row r="102" spans="1:6" s="89" customFormat="1" x14ac:dyDescent="0.2">
      <c r="A102" s="178">
        <v>43791</v>
      </c>
      <c r="B102" s="179">
        <f>368.45+10</f>
        <v>378.45</v>
      </c>
      <c r="C102" s="112" t="s">
        <v>227</v>
      </c>
      <c r="D102" s="112" t="s">
        <v>171</v>
      </c>
      <c r="E102" s="113" t="s">
        <v>228</v>
      </c>
      <c r="F102" s="1"/>
    </row>
    <row r="103" spans="1:6" s="89" customFormat="1" x14ac:dyDescent="0.2">
      <c r="A103" s="178">
        <v>43791</v>
      </c>
      <c r="B103" s="179">
        <f>47.7+5</f>
        <v>52.7</v>
      </c>
      <c r="C103" s="112" t="s">
        <v>227</v>
      </c>
      <c r="D103" s="112" t="s">
        <v>216</v>
      </c>
      <c r="E103" s="113" t="s">
        <v>228</v>
      </c>
      <c r="F103" s="1"/>
    </row>
    <row r="104" spans="1:6" s="89" customFormat="1" x14ac:dyDescent="0.2">
      <c r="A104" s="178">
        <v>43791</v>
      </c>
      <c r="B104" s="176">
        <f>75.65+91.69</f>
        <v>167.34</v>
      </c>
      <c r="C104" s="112" t="s">
        <v>227</v>
      </c>
      <c r="D104" s="112" t="s">
        <v>260</v>
      </c>
      <c r="E104" s="113" t="s">
        <v>228</v>
      </c>
      <c r="F104" s="1"/>
    </row>
    <row r="105" spans="1:6" s="89" customFormat="1" x14ac:dyDescent="0.2">
      <c r="A105" s="178">
        <v>43791</v>
      </c>
      <c r="B105" s="179">
        <f>190.43+5</f>
        <v>195.43</v>
      </c>
      <c r="C105" s="112" t="s">
        <v>227</v>
      </c>
      <c r="D105" s="112" t="s">
        <v>261</v>
      </c>
      <c r="E105" s="113" t="s">
        <v>228</v>
      </c>
      <c r="F105" s="1"/>
    </row>
    <row r="106" spans="1:6" s="89" customFormat="1" x14ac:dyDescent="0.2">
      <c r="A106" s="178">
        <v>43791</v>
      </c>
      <c r="B106" s="179">
        <v>59.57</v>
      </c>
      <c r="C106" s="112" t="s">
        <v>227</v>
      </c>
      <c r="D106" s="112" t="s">
        <v>283</v>
      </c>
      <c r="E106" s="113" t="s">
        <v>228</v>
      </c>
      <c r="F106" s="159"/>
    </row>
    <row r="107" spans="1:6" s="89" customFormat="1" x14ac:dyDescent="0.2">
      <c r="A107" s="166"/>
      <c r="B107" s="159"/>
      <c r="C107" s="154"/>
      <c r="D107" s="154"/>
      <c r="E107" s="155"/>
      <c r="F107" s="159"/>
    </row>
    <row r="108" spans="1:6" s="89" customFormat="1" x14ac:dyDescent="0.2">
      <c r="A108" s="178">
        <v>43795</v>
      </c>
      <c r="B108" s="179">
        <f>385.65+43.04+10</f>
        <v>438.69</v>
      </c>
      <c r="C108" s="112" t="s">
        <v>247</v>
      </c>
      <c r="D108" s="112" t="s">
        <v>171</v>
      </c>
      <c r="E108" s="113" t="s">
        <v>191</v>
      </c>
      <c r="F108" s="159"/>
    </row>
    <row r="109" spans="1:6" s="89" customFormat="1" x14ac:dyDescent="0.2">
      <c r="A109" s="178">
        <v>43795</v>
      </c>
      <c r="B109" s="176">
        <f>6.5+49.26+47.57</f>
        <v>103.33</v>
      </c>
      <c r="C109" s="112" t="s">
        <v>247</v>
      </c>
      <c r="D109" s="112" t="s">
        <v>259</v>
      </c>
      <c r="E109" s="113" t="s">
        <v>191</v>
      </c>
      <c r="F109" s="162"/>
    </row>
    <row r="110" spans="1:6" s="89" customFormat="1" x14ac:dyDescent="0.2">
      <c r="A110" s="178">
        <v>43795</v>
      </c>
      <c r="B110" s="176">
        <v>31.3</v>
      </c>
      <c r="C110" s="112" t="s">
        <v>247</v>
      </c>
      <c r="D110" s="112" t="s">
        <v>283</v>
      </c>
      <c r="E110" s="113" t="s">
        <v>191</v>
      </c>
      <c r="F110" s="162"/>
    </row>
    <row r="111" spans="1:6" s="89" customFormat="1" x14ac:dyDescent="0.2">
      <c r="A111" s="166"/>
      <c r="B111" s="159"/>
      <c r="C111" s="154"/>
      <c r="D111" s="154"/>
      <c r="E111" s="155"/>
      <c r="F111" s="161"/>
    </row>
    <row r="112" spans="1:6" s="89" customFormat="1" x14ac:dyDescent="0.2">
      <c r="A112" s="178">
        <v>43801</v>
      </c>
      <c r="B112" s="179">
        <f>342.61+5</f>
        <v>347.61</v>
      </c>
      <c r="C112" s="112" t="s">
        <v>232</v>
      </c>
      <c r="D112" s="112" t="s">
        <v>171</v>
      </c>
      <c r="E112" s="113" t="s">
        <v>191</v>
      </c>
      <c r="F112" s="161"/>
    </row>
    <row r="113" spans="1:6" s="89" customFormat="1" x14ac:dyDescent="0.2">
      <c r="A113" s="178">
        <v>43801</v>
      </c>
      <c r="B113" s="179">
        <v>47.7</v>
      </c>
      <c r="C113" s="112" t="s">
        <v>232</v>
      </c>
      <c r="D113" s="112" t="s">
        <v>216</v>
      </c>
      <c r="E113" s="113" t="s">
        <v>191</v>
      </c>
      <c r="F113" s="161"/>
    </row>
    <row r="114" spans="1:6" s="89" customFormat="1" x14ac:dyDescent="0.2">
      <c r="A114" s="178">
        <v>43801</v>
      </c>
      <c r="B114" s="179">
        <v>31.3</v>
      </c>
      <c r="C114" s="112" t="s">
        <v>232</v>
      </c>
      <c r="D114" s="112" t="s">
        <v>283</v>
      </c>
      <c r="E114" s="113" t="s">
        <v>191</v>
      </c>
      <c r="F114" s="161"/>
    </row>
    <row r="115" spans="1:6" s="89" customFormat="1" x14ac:dyDescent="0.2">
      <c r="A115" s="166"/>
      <c r="B115" s="159"/>
      <c r="C115" s="154"/>
      <c r="D115" s="154"/>
      <c r="E115" s="155"/>
      <c r="F115" s="161"/>
    </row>
    <row r="116" spans="1:6" s="89" customFormat="1" x14ac:dyDescent="0.2">
      <c r="A116" s="178">
        <v>43804</v>
      </c>
      <c r="B116" s="179">
        <f>351.21+124.83+10</f>
        <v>486.03999999999996</v>
      </c>
      <c r="C116" s="112" t="s">
        <v>257</v>
      </c>
      <c r="D116" s="112" t="s">
        <v>171</v>
      </c>
      <c r="E116" s="113" t="s">
        <v>191</v>
      </c>
    </row>
    <row r="117" spans="1:6" s="89" customFormat="1" x14ac:dyDescent="0.2">
      <c r="A117" s="178">
        <v>43804</v>
      </c>
      <c r="B117" s="179">
        <f>235.74+5</f>
        <v>240.74</v>
      </c>
      <c r="C117" s="112" t="s">
        <v>233</v>
      </c>
      <c r="D117" s="112" t="s">
        <v>168</v>
      </c>
      <c r="E117" s="113" t="s">
        <v>191</v>
      </c>
      <c r="F117" s="1"/>
    </row>
    <row r="118" spans="1:6" s="176" customFormat="1" x14ac:dyDescent="0.2">
      <c r="A118" s="178">
        <v>43804</v>
      </c>
      <c r="B118" s="179">
        <f>17.3+14.17+55.23+21.74</f>
        <v>108.43999999999998</v>
      </c>
      <c r="C118" s="112" t="s">
        <v>257</v>
      </c>
      <c r="D118" s="112" t="s">
        <v>258</v>
      </c>
      <c r="E118" s="113" t="s">
        <v>191</v>
      </c>
      <c r="F118" s="89"/>
    </row>
    <row r="119" spans="1:6" s="176" customFormat="1" x14ac:dyDescent="0.2">
      <c r="A119" s="178">
        <v>43804</v>
      </c>
      <c r="B119" s="179">
        <v>53.48</v>
      </c>
      <c r="C119" s="112" t="s">
        <v>257</v>
      </c>
      <c r="D119" s="112" t="s">
        <v>283</v>
      </c>
      <c r="E119" s="113" t="s">
        <v>191</v>
      </c>
      <c r="F119" s="89"/>
    </row>
    <row r="120" spans="1:6" s="89" customFormat="1" x14ac:dyDescent="0.2">
      <c r="A120" s="185"/>
      <c r="B120" s="184"/>
      <c r="C120" s="186"/>
      <c r="D120" s="186"/>
      <c r="E120" s="187"/>
      <c r="F120" s="1"/>
    </row>
    <row r="121" spans="1:6" s="89" customFormat="1" x14ac:dyDescent="0.2">
      <c r="A121" s="178" t="s">
        <v>234</v>
      </c>
      <c r="B121" s="179">
        <f>213.48+111.92+10+10+10</f>
        <v>355.4</v>
      </c>
      <c r="C121" s="112" t="s">
        <v>235</v>
      </c>
      <c r="D121" s="112" t="s">
        <v>171</v>
      </c>
      <c r="E121" s="113" t="s">
        <v>191</v>
      </c>
      <c r="F121" s="1"/>
    </row>
    <row r="122" spans="1:6" s="89" customFormat="1" x14ac:dyDescent="0.2">
      <c r="A122" s="178" t="s">
        <v>234</v>
      </c>
      <c r="B122" s="179">
        <f>260.87+5</f>
        <v>265.87</v>
      </c>
      <c r="C122" s="112" t="s">
        <v>235</v>
      </c>
      <c r="D122" s="112" t="s">
        <v>168</v>
      </c>
      <c r="E122" s="113" t="s">
        <v>191</v>
      </c>
      <c r="F122" s="1"/>
    </row>
    <row r="123" spans="1:6" s="162" customFormat="1" x14ac:dyDescent="0.2">
      <c r="A123" s="178" t="s">
        <v>234</v>
      </c>
      <c r="B123" s="179">
        <v>11.3</v>
      </c>
      <c r="C123" s="112" t="s">
        <v>235</v>
      </c>
      <c r="D123" s="112" t="s">
        <v>169</v>
      </c>
      <c r="E123" s="113" t="s">
        <v>191</v>
      </c>
      <c r="F123" s="184"/>
    </row>
    <row r="124" spans="1:6" s="89" customFormat="1" x14ac:dyDescent="0.2">
      <c r="A124" s="178" t="s">
        <v>234</v>
      </c>
      <c r="B124" s="179">
        <f>71.01+5</f>
        <v>76.010000000000005</v>
      </c>
      <c r="C124" s="112" t="s">
        <v>235</v>
      </c>
      <c r="D124" s="112" t="s">
        <v>216</v>
      </c>
      <c r="E124" s="113" t="s">
        <v>191</v>
      </c>
      <c r="F124" s="1"/>
    </row>
    <row r="125" spans="1:6" s="89" customFormat="1" x14ac:dyDescent="0.2">
      <c r="A125" s="178" t="s">
        <v>234</v>
      </c>
      <c r="B125" s="179">
        <v>44.35</v>
      </c>
      <c r="C125" s="112" t="s">
        <v>235</v>
      </c>
      <c r="D125" s="112" t="s">
        <v>283</v>
      </c>
      <c r="E125" s="113" t="s">
        <v>191</v>
      </c>
      <c r="F125" s="1"/>
    </row>
    <row r="126" spans="1:6" s="162" customFormat="1" x14ac:dyDescent="0.2">
      <c r="A126" s="185"/>
      <c r="B126" s="184"/>
      <c r="C126" s="186"/>
      <c r="D126" s="186"/>
      <c r="E126" s="187"/>
      <c r="F126" s="1"/>
    </row>
    <row r="127" spans="1:6" s="89" customFormat="1" x14ac:dyDescent="0.2">
      <c r="A127" s="178" t="s">
        <v>262</v>
      </c>
      <c r="B127" s="179">
        <f>316.78+51.64+10+60.27+10+10</f>
        <v>458.68999999999994</v>
      </c>
      <c r="C127" s="112" t="s">
        <v>246</v>
      </c>
      <c r="D127" s="112" t="s">
        <v>171</v>
      </c>
      <c r="E127" s="113" t="s">
        <v>191</v>
      </c>
      <c r="F127" s="1"/>
    </row>
    <row r="128" spans="1:6" s="89" customFormat="1" x14ac:dyDescent="0.2">
      <c r="A128" s="178" t="s">
        <v>262</v>
      </c>
      <c r="B128" s="179">
        <f>617.39+5</f>
        <v>622.39</v>
      </c>
      <c r="C128" s="112" t="s">
        <v>246</v>
      </c>
      <c r="D128" s="112" t="s">
        <v>168</v>
      </c>
      <c r="E128" s="113" t="s">
        <v>191</v>
      </c>
      <c r="F128" s="1"/>
    </row>
    <row r="129" spans="1:6" s="162" customFormat="1" x14ac:dyDescent="0.2">
      <c r="A129" s="178" t="s">
        <v>262</v>
      </c>
      <c r="B129" s="176">
        <f>32.52+16.7+15.13</f>
        <v>64.349999999999994</v>
      </c>
      <c r="C129" s="112" t="s">
        <v>279</v>
      </c>
      <c r="D129" s="112" t="s">
        <v>259</v>
      </c>
      <c r="E129" s="113" t="s">
        <v>191</v>
      </c>
      <c r="F129" s="89"/>
    </row>
    <row r="130" spans="1:6" s="89" customFormat="1" x14ac:dyDescent="0.2">
      <c r="A130" s="178" t="s">
        <v>262</v>
      </c>
      <c r="B130" s="176">
        <f>11.3+24.35</f>
        <v>35.650000000000006</v>
      </c>
      <c r="C130" s="112" t="s">
        <v>280</v>
      </c>
      <c r="D130" s="112" t="s">
        <v>169</v>
      </c>
      <c r="E130" s="113" t="s">
        <v>191</v>
      </c>
      <c r="F130" s="184"/>
    </row>
    <row r="131" spans="1:6" s="162" customFormat="1" x14ac:dyDescent="0.2">
      <c r="A131" s="178" t="s">
        <v>262</v>
      </c>
      <c r="B131" s="176">
        <f>8.69+3.04</f>
        <v>11.73</v>
      </c>
      <c r="C131" s="112" t="s">
        <v>246</v>
      </c>
      <c r="D131" s="112" t="s">
        <v>215</v>
      </c>
      <c r="E131" s="113" t="s">
        <v>191</v>
      </c>
      <c r="F131" s="89"/>
    </row>
    <row r="132" spans="1:6" s="89" customFormat="1" x14ac:dyDescent="0.2">
      <c r="A132" s="178" t="s">
        <v>262</v>
      </c>
      <c r="B132" s="176">
        <f>168.68+5</f>
        <v>173.68</v>
      </c>
      <c r="C132" s="112" t="s">
        <v>246</v>
      </c>
      <c r="D132" s="112" t="s">
        <v>216</v>
      </c>
      <c r="E132" s="113" t="s">
        <v>191</v>
      </c>
      <c r="F132" s="184"/>
    </row>
    <row r="133" spans="1:6" s="89" customFormat="1" x14ac:dyDescent="0.2">
      <c r="A133" s="178" t="s">
        <v>262</v>
      </c>
      <c r="B133" s="176">
        <v>44.35</v>
      </c>
      <c r="C133" s="112" t="s">
        <v>246</v>
      </c>
      <c r="D133" s="112" t="s">
        <v>283</v>
      </c>
      <c r="E133" s="113" t="s">
        <v>191</v>
      </c>
      <c r="F133" s="184"/>
    </row>
    <row r="134" spans="1:6" s="89" customFormat="1" x14ac:dyDescent="0.2">
      <c r="A134" s="185"/>
      <c r="C134" s="186"/>
      <c r="D134" s="186"/>
      <c r="E134" s="187"/>
      <c r="F134" s="184"/>
    </row>
    <row r="135" spans="1:6" s="162" customFormat="1" x14ac:dyDescent="0.2">
      <c r="A135" s="178">
        <v>43879</v>
      </c>
      <c r="B135" s="176">
        <f>553.52</f>
        <v>553.52</v>
      </c>
      <c r="C135" s="112" t="s">
        <v>270</v>
      </c>
      <c r="D135" s="112" t="s">
        <v>171</v>
      </c>
      <c r="E135" s="113" t="s">
        <v>191</v>
      </c>
      <c r="F135" s="184"/>
    </row>
    <row r="136" spans="1:6" s="162" customFormat="1" x14ac:dyDescent="0.2">
      <c r="A136" s="178">
        <v>43879</v>
      </c>
      <c r="B136" s="176">
        <f>89.57+42.66</f>
        <v>132.22999999999999</v>
      </c>
      <c r="C136" s="112" t="s">
        <v>270</v>
      </c>
      <c r="D136" s="112" t="s">
        <v>260</v>
      </c>
      <c r="E136" s="113" t="s">
        <v>191</v>
      </c>
      <c r="F136" s="89"/>
    </row>
    <row r="137" spans="1:6" s="89" customFormat="1" x14ac:dyDescent="0.2">
      <c r="A137" s="178">
        <v>43879</v>
      </c>
      <c r="B137" s="176">
        <f>55.36+5</f>
        <v>60.36</v>
      </c>
      <c r="C137" s="112" t="s">
        <v>270</v>
      </c>
      <c r="D137" s="112" t="s">
        <v>216</v>
      </c>
      <c r="E137" s="113" t="s">
        <v>191</v>
      </c>
      <c r="F137" s="184"/>
    </row>
    <row r="138" spans="1:6" s="162" customFormat="1" x14ac:dyDescent="0.2">
      <c r="A138" s="185"/>
      <c r="B138" s="89"/>
      <c r="C138" s="186"/>
      <c r="D138" s="186"/>
      <c r="E138" s="187"/>
      <c r="F138" s="184"/>
    </row>
    <row r="139" spans="1:6" s="89" customFormat="1" x14ac:dyDescent="0.2">
      <c r="A139" s="178" t="s">
        <v>271</v>
      </c>
      <c r="B139" s="176">
        <f>488.97+5</f>
        <v>493.97</v>
      </c>
      <c r="C139" s="112" t="s">
        <v>272</v>
      </c>
      <c r="D139" s="112" t="s">
        <v>171</v>
      </c>
      <c r="E139" s="113" t="s">
        <v>226</v>
      </c>
      <c r="F139" s="184"/>
    </row>
    <row r="140" spans="1:6" s="162" customFormat="1" x14ac:dyDescent="0.2">
      <c r="A140" s="178" t="s">
        <v>271</v>
      </c>
      <c r="B140" s="176">
        <f>29.3+54.26</f>
        <v>83.56</v>
      </c>
      <c r="C140" s="112" t="s">
        <v>272</v>
      </c>
      <c r="D140" s="112" t="s">
        <v>281</v>
      </c>
      <c r="E140" s="113" t="s">
        <v>226</v>
      </c>
      <c r="F140" s="89"/>
    </row>
    <row r="141" spans="1:6" s="162" customFormat="1" x14ac:dyDescent="0.2">
      <c r="A141" s="178" t="s">
        <v>271</v>
      </c>
      <c r="B141" s="176">
        <v>182.7</v>
      </c>
      <c r="C141" s="112" t="s">
        <v>272</v>
      </c>
      <c r="D141" s="112" t="s">
        <v>266</v>
      </c>
      <c r="E141" s="113" t="s">
        <v>226</v>
      </c>
      <c r="F141" s="89"/>
    </row>
    <row r="142" spans="1:6" s="89" customFormat="1" x14ac:dyDescent="0.2">
      <c r="A142" s="185"/>
      <c r="C142" s="186"/>
      <c r="D142" s="186"/>
      <c r="E142" s="187"/>
      <c r="F142" s="184"/>
    </row>
    <row r="143" spans="1:6" s="89" customFormat="1" x14ac:dyDescent="0.2">
      <c r="A143" s="178" t="s">
        <v>273</v>
      </c>
      <c r="B143" s="176">
        <f>10+214.35+16+10</f>
        <v>250.35</v>
      </c>
      <c r="C143" s="112" t="s">
        <v>274</v>
      </c>
      <c r="D143" s="112" t="s">
        <v>171</v>
      </c>
      <c r="E143" s="113" t="s">
        <v>191</v>
      </c>
      <c r="F143" s="184"/>
    </row>
    <row r="144" spans="1:6" s="89" customFormat="1" ht="13.5" customHeight="1" x14ac:dyDescent="0.2">
      <c r="A144" s="178" t="s">
        <v>273</v>
      </c>
      <c r="B144" s="176">
        <f>124.41+5</f>
        <v>129.41</v>
      </c>
      <c r="C144" s="112" t="s">
        <v>274</v>
      </c>
      <c r="D144" s="112" t="s">
        <v>216</v>
      </c>
      <c r="E144" s="113" t="s">
        <v>191</v>
      </c>
      <c r="F144" s="184"/>
    </row>
    <row r="145" spans="1:6" s="89" customFormat="1" x14ac:dyDescent="0.2">
      <c r="A145" s="178" t="s">
        <v>273</v>
      </c>
      <c r="B145" s="176">
        <v>8.6999999999999993</v>
      </c>
      <c r="C145" s="112" t="s">
        <v>274</v>
      </c>
      <c r="D145" s="112" t="s">
        <v>282</v>
      </c>
      <c r="E145" s="113" t="s">
        <v>191</v>
      </c>
    </row>
    <row r="146" spans="1:6" s="176" customFormat="1" x14ac:dyDescent="0.2">
      <c r="A146" s="178" t="s">
        <v>273</v>
      </c>
      <c r="B146" s="176">
        <v>11.3</v>
      </c>
      <c r="C146" s="112" t="s">
        <v>274</v>
      </c>
      <c r="D146" s="112" t="s">
        <v>169</v>
      </c>
      <c r="E146" s="113" t="s">
        <v>191</v>
      </c>
      <c r="F146" s="162"/>
    </row>
    <row r="147" spans="1:6" s="89" customFormat="1" x14ac:dyDescent="0.2">
      <c r="A147" s="178" t="s">
        <v>273</v>
      </c>
      <c r="B147" s="176">
        <f>83.04+33.57</f>
        <v>116.61000000000001</v>
      </c>
      <c r="C147" s="112" t="s">
        <v>274</v>
      </c>
      <c r="D147" s="112" t="s">
        <v>260</v>
      </c>
      <c r="E147" s="113" t="s">
        <v>188</v>
      </c>
    </row>
    <row r="148" spans="1:6" s="89" customFormat="1" x14ac:dyDescent="0.2">
      <c r="A148" s="185"/>
      <c r="B148" s="184"/>
      <c r="C148" s="186"/>
      <c r="D148" s="186"/>
      <c r="E148" s="187"/>
      <c r="F148" s="1"/>
    </row>
    <row r="149" spans="1:6" s="162" customFormat="1" x14ac:dyDescent="0.2">
      <c r="A149" s="178">
        <v>43916</v>
      </c>
      <c r="B149" s="179">
        <v>15</v>
      </c>
      <c r="C149" s="112" t="s">
        <v>298</v>
      </c>
      <c r="D149" s="112"/>
      <c r="E149" s="113"/>
      <c r="F149" s="1"/>
    </row>
    <row r="150" spans="1:6" s="89" customFormat="1" x14ac:dyDescent="0.2">
      <c r="A150" s="185"/>
      <c r="B150" s="184"/>
      <c r="C150" s="186"/>
      <c r="D150" s="186"/>
      <c r="E150" s="187"/>
      <c r="F150" s="1"/>
    </row>
    <row r="151" spans="1:6" s="89" customFormat="1" x14ac:dyDescent="0.2">
      <c r="A151" s="178">
        <v>43920</v>
      </c>
      <c r="B151" s="179">
        <f>334-334</f>
        <v>0</v>
      </c>
      <c r="C151" s="112" t="s">
        <v>288</v>
      </c>
      <c r="D151" s="112" t="s">
        <v>289</v>
      </c>
      <c r="E151" s="113" t="s">
        <v>191</v>
      </c>
      <c r="F151" s="1"/>
    </row>
    <row r="152" spans="1:6" s="89" customFormat="1" x14ac:dyDescent="0.2">
      <c r="A152" s="166"/>
      <c r="B152" s="159"/>
      <c r="C152" s="154"/>
      <c r="D152" s="154"/>
      <c r="E152" s="155"/>
      <c r="F152" s="161"/>
    </row>
    <row r="153" spans="1:6" s="89" customFormat="1" x14ac:dyDescent="0.2">
      <c r="A153" s="178">
        <v>43993</v>
      </c>
      <c r="B153" s="190">
        <f>10+240.17+188.52</f>
        <v>438.69</v>
      </c>
      <c r="C153" s="112" t="s">
        <v>290</v>
      </c>
      <c r="D153" s="112" t="s">
        <v>171</v>
      </c>
      <c r="E153" s="113" t="s">
        <v>191</v>
      </c>
      <c r="F153" s="1"/>
    </row>
    <row r="154" spans="1:6" s="162" customFormat="1" x14ac:dyDescent="0.2">
      <c r="A154" s="178">
        <v>43993</v>
      </c>
      <c r="B154" s="179">
        <f>66.99+5</f>
        <v>71.989999999999995</v>
      </c>
      <c r="C154" s="112" t="s">
        <v>290</v>
      </c>
      <c r="D154" s="112" t="s">
        <v>216</v>
      </c>
      <c r="E154" s="113" t="s">
        <v>191</v>
      </c>
      <c r="F154" s="161"/>
    </row>
    <row r="155" spans="1:6" ht="19.5" customHeight="1" x14ac:dyDescent="0.2">
      <c r="A155" s="126" t="s">
        <v>155</v>
      </c>
      <c r="B155" s="127">
        <f>SUM(B46:B154)</f>
        <v>17515.943043478266</v>
      </c>
      <c r="C155" s="128" t="str">
        <f>IF(SUBTOTAL(3,B46:B154)=SUBTOTAL(103,B46:B154),'Summary and sign-off'!$A$47,'Summary and sign-off'!$A$48)</f>
        <v>Check - there are no hidden rows with data</v>
      </c>
      <c r="D155" s="198" t="str">
        <f>IF('Summary and sign-off'!F55='Summary and sign-off'!F53,'Summary and sign-off'!A50,'Summary and sign-off'!A49)</f>
        <v>Not all lines have an entry for "Cost in NZ$" and "Type of expense"</v>
      </c>
      <c r="E155" s="198"/>
      <c r="F155" s="48"/>
    </row>
    <row r="156" spans="1:6" ht="10.5" customHeight="1" x14ac:dyDescent="0.2">
      <c r="A156" s="29"/>
      <c r="B156" s="24"/>
      <c r="C156" s="29"/>
      <c r="D156" s="29"/>
      <c r="E156" s="29"/>
      <c r="F156" s="29"/>
    </row>
    <row r="157" spans="1:6" ht="24.75" customHeight="1" x14ac:dyDescent="0.2">
      <c r="A157" s="199" t="s">
        <v>44</v>
      </c>
      <c r="B157" s="199"/>
      <c r="C157" s="199"/>
      <c r="D157" s="199"/>
      <c r="E157" s="199"/>
      <c r="F157" s="48"/>
    </row>
    <row r="158" spans="1:6" ht="27" customHeight="1" x14ac:dyDescent="0.2">
      <c r="A158" s="37" t="s">
        <v>49</v>
      </c>
      <c r="B158" s="37" t="s">
        <v>31</v>
      </c>
      <c r="C158" s="37" t="s">
        <v>147</v>
      </c>
      <c r="D158" s="37" t="s">
        <v>88</v>
      </c>
      <c r="E158" s="37" t="s">
        <v>76</v>
      </c>
      <c r="F158" s="51"/>
    </row>
    <row r="159" spans="1:6" s="89" customFormat="1" x14ac:dyDescent="0.2">
      <c r="A159" s="178">
        <v>43745</v>
      </c>
      <c r="B159" s="179">
        <v>9.0399999999999991</v>
      </c>
      <c r="C159" s="112" t="s">
        <v>242</v>
      </c>
      <c r="D159" s="112" t="s">
        <v>243</v>
      </c>
      <c r="E159" s="113" t="s">
        <v>188</v>
      </c>
      <c r="F159" s="182"/>
    </row>
    <row r="160" spans="1:6" s="162" customFormat="1" x14ac:dyDescent="0.2">
      <c r="A160" s="178">
        <v>43746</v>
      </c>
      <c r="B160" s="179">
        <v>50.81</v>
      </c>
      <c r="C160" s="112" t="s">
        <v>244</v>
      </c>
      <c r="D160" s="112" t="s">
        <v>245</v>
      </c>
      <c r="E160" s="113" t="s">
        <v>188</v>
      </c>
      <c r="F160" s="182"/>
    </row>
    <row r="161" spans="1:6" s="162" customFormat="1" x14ac:dyDescent="0.2">
      <c r="A161" s="178">
        <v>43783</v>
      </c>
      <c r="B161" s="176">
        <v>3.48</v>
      </c>
      <c r="C161" s="112" t="s">
        <v>293</v>
      </c>
      <c r="D161" s="112" t="s">
        <v>252</v>
      </c>
      <c r="E161" s="113" t="s">
        <v>188</v>
      </c>
      <c r="F161" s="159"/>
    </row>
    <row r="162" spans="1:6" s="162" customFormat="1" x14ac:dyDescent="0.2">
      <c r="A162" s="183">
        <v>43796</v>
      </c>
      <c r="B162" s="179">
        <v>31.41</v>
      </c>
      <c r="C162" s="112" t="s">
        <v>244</v>
      </c>
      <c r="D162" s="112" t="s">
        <v>245</v>
      </c>
      <c r="E162" s="113" t="s">
        <v>188</v>
      </c>
      <c r="F162" s="159"/>
    </row>
    <row r="163" spans="1:6" ht="19.5" customHeight="1" x14ac:dyDescent="0.2">
      <c r="A163" s="126" t="s">
        <v>152</v>
      </c>
      <c r="B163" s="127">
        <f>SUM(B159:B162)</f>
        <v>94.74</v>
      </c>
      <c r="C163" s="128" t="str">
        <f>IF(SUBTOTAL(3,B159:B162)=SUBTOTAL(103,B159:B162),'Summary and sign-off'!$A$47,'Summary and sign-off'!$A$48)</f>
        <v>Check - there are no hidden rows with data</v>
      </c>
      <c r="D163" s="198" t="str">
        <f>IF('Summary and sign-off'!F56='Summary and sign-off'!F53,'Summary and sign-off'!A50,'Summary and sign-off'!A49)</f>
        <v>Check - each entry provides sufficient information</v>
      </c>
      <c r="E163" s="198"/>
      <c r="F163" s="48"/>
    </row>
    <row r="164" spans="1:6" ht="10.5" customHeight="1" x14ac:dyDescent="0.2">
      <c r="A164" s="29"/>
      <c r="B164" s="97"/>
      <c r="C164" s="24"/>
      <c r="D164" s="29"/>
      <c r="E164" s="29"/>
      <c r="F164" s="29"/>
    </row>
    <row r="165" spans="1:6" ht="34.5" customHeight="1" x14ac:dyDescent="0.2">
      <c r="A165" s="52" t="s">
        <v>1</v>
      </c>
      <c r="B165" s="98">
        <f>B42+B155+B163</f>
        <v>36668.163043478264</v>
      </c>
      <c r="C165" s="53"/>
      <c r="D165" s="53"/>
      <c r="E165" s="53"/>
      <c r="F165" s="28"/>
    </row>
    <row r="166" spans="1:6" x14ac:dyDescent="0.2">
      <c r="A166" s="29"/>
      <c r="B166" s="24"/>
      <c r="C166" s="29"/>
      <c r="D166" s="29"/>
      <c r="E166" s="29"/>
      <c r="F166" s="29"/>
    </row>
    <row r="167" spans="1:6" x14ac:dyDescent="0.2">
      <c r="A167" s="54" t="s">
        <v>8</v>
      </c>
      <c r="B167" s="27"/>
      <c r="C167" s="28"/>
      <c r="D167" s="28"/>
      <c r="E167" s="28"/>
      <c r="F167" s="29"/>
    </row>
    <row r="168" spans="1:6" ht="12.6" customHeight="1" x14ac:dyDescent="0.2">
      <c r="A168" s="25" t="s">
        <v>50</v>
      </c>
      <c r="B168" s="55"/>
      <c r="C168" s="55"/>
      <c r="D168" s="34"/>
      <c r="E168" s="34"/>
      <c r="F168" s="29"/>
    </row>
    <row r="169" spans="1:6" ht="12.95" customHeight="1" x14ac:dyDescent="0.2">
      <c r="A169" s="33" t="s">
        <v>156</v>
      </c>
      <c r="B169" s="29"/>
      <c r="C169" s="34"/>
      <c r="D169" s="29"/>
      <c r="E169" s="34"/>
      <c r="F169" s="29"/>
    </row>
    <row r="170" spans="1:6" x14ac:dyDescent="0.2">
      <c r="A170" s="33" t="s">
        <v>149</v>
      </c>
      <c r="B170" s="34"/>
      <c r="C170" s="34"/>
      <c r="D170" s="34"/>
      <c r="E170" s="56"/>
      <c r="F170" s="48"/>
    </row>
    <row r="171" spans="1:6" x14ac:dyDescent="0.2">
      <c r="A171" s="25" t="s">
        <v>157</v>
      </c>
      <c r="B171" s="27"/>
      <c r="C171" s="28"/>
      <c r="D171" s="28"/>
      <c r="E171" s="28"/>
      <c r="F171" s="29"/>
    </row>
    <row r="172" spans="1:6" ht="12.95" customHeight="1" x14ac:dyDescent="0.2">
      <c r="A172" s="33" t="s">
        <v>148</v>
      </c>
      <c r="B172" s="29"/>
      <c r="C172" s="34"/>
      <c r="D172" s="29"/>
      <c r="E172" s="34"/>
      <c r="F172" s="29"/>
    </row>
    <row r="173" spans="1:6" x14ac:dyDescent="0.2">
      <c r="A173" s="33" t="s">
        <v>153</v>
      </c>
      <c r="B173" s="34"/>
      <c r="C173" s="34"/>
      <c r="D173" s="34"/>
      <c r="E173" s="56"/>
      <c r="F173" s="48"/>
    </row>
    <row r="174" spans="1:6" x14ac:dyDescent="0.2">
      <c r="A174" s="38" t="s">
        <v>165</v>
      </c>
      <c r="B174" s="38"/>
      <c r="C174" s="38"/>
      <c r="D174" s="38"/>
      <c r="E174" s="56"/>
      <c r="F174" s="48"/>
    </row>
    <row r="175" spans="1:6" x14ac:dyDescent="0.2">
      <c r="A175" s="42"/>
      <c r="B175" s="29"/>
      <c r="C175" s="29"/>
      <c r="D175" s="29"/>
      <c r="E175" s="48"/>
      <c r="F175" s="48"/>
    </row>
    <row r="176" spans="1:6" x14ac:dyDescent="0.2">
      <c r="A176" s="42"/>
      <c r="B176" s="29"/>
      <c r="C176" s="29"/>
      <c r="D176" s="29"/>
      <c r="E176" s="48"/>
      <c r="F176" s="48"/>
    </row>
    <row r="181" spans="1:6" ht="12.75" customHeight="1" x14ac:dyDescent="0.2"/>
    <row r="184" spans="1:6" x14ac:dyDescent="0.2">
      <c r="A184" s="57"/>
      <c r="B184" s="48"/>
      <c r="C184" s="48"/>
      <c r="D184" s="48"/>
      <c r="E184" s="48"/>
      <c r="F184" s="48"/>
    </row>
    <row r="185" spans="1:6" x14ac:dyDescent="0.2">
      <c r="A185" s="57"/>
      <c r="B185" s="48"/>
      <c r="C185" s="48"/>
      <c r="D185" s="48"/>
      <c r="E185" s="48"/>
      <c r="F185" s="48"/>
    </row>
    <row r="186" spans="1:6" x14ac:dyDescent="0.2">
      <c r="A186" s="57"/>
      <c r="B186" s="48"/>
      <c r="C186" s="48"/>
      <c r="D186" s="48"/>
      <c r="E186" s="48"/>
      <c r="F186" s="48"/>
    </row>
    <row r="187" spans="1:6" x14ac:dyDescent="0.2">
      <c r="A187" s="57"/>
      <c r="B187" s="48"/>
      <c r="C187" s="48"/>
      <c r="D187" s="48"/>
      <c r="E187" s="48"/>
      <c r="F187" s="48"/>
    </row>
    <row r="188" spans="1:6" x14ac:dyDescent="0.2">
      <c r="A188" s="57"/>
      <c r="B188" s="48"/>
      <c r="C188" s="48"/>
      <c r="D188" s="48"/>
      <c r="E188" s="48"/>
      <c r="F188" s="48"/>
    </row>
  </sheetData>
  <sheetProtection sheet="1" formatCells="0" formatRows="0" insertColumns="0" insertRows="0" deleteRows="0"/>
  <mergeCells count="15">
    <mergeCell ref="B7:E7"/>
    <mergeCell ref="B5:E5"/>
    <mergeCell ref="D163:E163"/>
    <mergeCell ref="A1:E1"/>
    <mergeCell ref="A44:E44"/>
    <mergeCell ref="A157:E157"/>
    <mergeCell ref="B2:E2"/>
    <mergeCell ref="B3:E3"/>
    <mergeCell ref="B4:E4"/>
    <mergeCell ref="A8:E8"/>
    <mergeCell ref="A9:E9"/>
    <mergeCell ref="B6:E6"/>
    <mergeCell ref="D42:E42"/>
    <mergeCell ref="D155:E155"/>
    <mergeCell ref="A10:E10"/>
  </mergeCells>
  <phoneticPr fontId="36" type="noConversion"/>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41 A159:A162 A46:A15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58 A45 A11" xr:uid="{00000000-0002-0000-0300-000001000000}"/>
  </dataValidations>
  <pageMargins left="0.25" right="0.25" top="0.75" bottom="0.75" header="0.3" footer="0.3"/>
  <pageSetup paperSize="9" scale="7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F118:F119 F123 B120:B122 F129:F146 B124:B128 F34:F35 B26:B33 B36:B41 F104 B105:B108 F101 B101:B103 F95 B46:B94 B96:B98 B111:B117 B12:B23 F161 B159:B160 B162 B153:B154 B147:B152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J80"/>
  <sheetViews>
    <sheetView topLeftCell="A3"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94" t="s">
        <v>6</v>
      </c>
      <c r="B1" s="194"/>
      <c r="C1" s="194"/>
      <c r="D1" s="194"/>
      <c r="E1" s="194"/>
      <c r="F1" s="40"/>
    </row>
    <row r="2" spans="1:6" ht="21" customHeight="1" x14ac:dyDescent="0.2">
      <c r="A2" s="4" t="s">
        <v>2</v>
      </c>
      <c r="B2" s="197" t="str">
        <f>'Summary and sign-off'!B2:F2</f>
        <v>Sport NZ</v>
      </c>
      <c r="C2" s="197"/>
      <c r="D2" s="197"/>
      <c r="E2" s="197"/>
      <c r="F2" s="40"/>
    </row>
    <row r="3" spans="1:6" ht="21" customHeight="1" x14ac:dyDescent="0.2">
      <c r="A3" s="4" t="s">
        <v>3</v>
      </c>
      <c r="B3" s="197" t="str">
        <f>'Summary and sign-off'!B3:F3</f>
        <v>Peter Miskimmin</v>
      </c>
      <c r="C3" s="197"/>
      <c r="D3" s="197"/>
      <c r="E3" s="197"/>
      <c r="F3" s="40"/>
    </row>
    <row r="4" spans="1:6" ht="21" customHeight="1" x14ac:dyDescent="0.2">
      <c r="A4" s="4" t="s">
        <v>77</v>
      </c>
      <c r="B4" s="197">
        <f>'Summary and sign-off'!B4:F4</f>
        <v>43647</v>
      </c>
      <c r="C4" s="197"/>
      <c r="D4" s="197"/>
      <c r="E4" s="197"/>
      <c r="F4" s="40"/>
    </row>
    <row r="5" spans="1:6" ht="21" customHeight="1" x14ac:dyDescent="0.2">
      <c r="A5" s="4" t="s">
        <v>78</v>
      </c>
      <c r="B5" s="197">
        <f>'Summary and sign-off'!B5:F5</f>
        <v>44012</v>
      </c>
      <c r="C5" s="197"/>
      <c r="D5" s="197"/>
      <c r="E5" s="197"/>
      <c r="F5" s="40"/>
    </row>
    <row r="6" spans="1:6" ht="21" customHeight="1" x14ac:dyDescent="0.2">
      <c r="A6" s="4" t="s">
        <v>29</v>
      </c>
      <c r="B6" s="192" t="s">
        <v>28</v>
      </c>
      <c r="C6" s="192"/>
      <c r="D6" s="192"/>
      <c r="E6" s="192"/>
      <c r="F6" s="40"/>
    </row>
    <row r="7" spans="1:6" ht="21" customHeight="1" x14ac:dyDescent="0.2">
      <c r="A7" s="4" t="s">
        <v>104</v>
      </c>
      <c r="B7" s="192" t="s">
        <v>116</v>
      </c>
      <c r="C7" s="192"/>
      <c r="D7" s="192"/>
      <c r="E7" s="192"/>
      <c r="F7" s="40"/>
    </row>
    <row r="8" spans="1:6" ht="35.25" customHeight="1" x14ac:dyDescent="0.25">
      <c r="A8" s="207" t="s">
        <v>158</v>
      </c>
      <c r="B8" s="207"/>
      <c r="C8" s="208"/>
      <c r="D8" s="208"/>
      <c r="E8" s="208"/>
      <c r="F8" s="44"/>
    </row>
    <row r="9" spans="1:6" ht="35.25" customHeight="1" x14ac:dyDescent="0.25">
      <c r="A9" s="205" t="s">
        <v>135</v>
      </c>
      <c r="B9" s="206"/>
      <c r="C9" s="206"/>
      <c r="D9" s="206"/>
      <c r="E9" s="206"/>
      <c r="F9" s="44"/>
    </row>
    <row r="10" spans="1:6" ht="27" customHeight="1" x14ac:dyDescent="0.2">
      <c r="A10" s="156" t="s">
        <v>161</v>
      </c>
      <c r="B10" s="37" t="s">
        <v>31</v>
      </c>
      <c r="C10" s="37" t="s">
        <v>89</v>
      </c>
      <c r="D10" s="37" t="s">
        <v>87</v>
      </c>
      <c r="E10" s="37" t="s">
        <v>76</v>
      </c>
      <c r="F10" s="25"/>
    </row>
    <row r="11" spans="1:6" s="89" customFormat="1" hidden="1" x14ac:dyDescent="0.2">
      <c r="A11" s="157"/>
      <c r="B11" s="111"/>
      <c r="C11" s="116"/>
      <c r="D11" s="116"/>
      <c r="E11" s="117"/>
      <c r="F11" s="2"/>
    </row>
    <row r="12" spans="1:6" s="89" customFormat="1" x14ac:dyDescent="0.2">
      <c r="A12" s="178">
        <v>43671</v>
      </c>
      <c r="B12" s="179">
        <v>15.22</v>
      </c>
      <c r="C12" s="116" t="s">
        <v>189</v>
      </c>
      <c r="D12" s="116" t="s">
        <v>187</v>
      </c>
      <c r="E12" s="117" t="s">
        <v>188</v>
      </c>
      <c r="F12" s="159"/>
    </row>
    <row r="13" spans="1:6" s="89" customFormat="1" x14ac:dyDescent="0.2">
      <c r="A13" s="178">
        <v>43676</v>
      </c>
      <c r="B13" s="179">
        <v>29</v>
      </c>
      <c r="C13" s="116" t="s">
        <v>203</v>
      </c>
      <c r="D13" s="116" t="s">
        <v>202</v>
      </c>
      <c r="E13" s="117" t="s">
        <v>188</v>
      </c>
      <c r="F13" s="159"/>
    </row>
    <row r="14" spans="1:6" s="162" customFormat="1" x14ac:dyDescent="0.2">
      <c r="A14" s="178">
        <v>43790</v>
      </c>
      <c r="B14" s="179">
        <v>25.22</v>
      </c>
      <c r="C14" s="116" t="s">
        <v>254</v>
      </c>
      <c r="D14" s="116" t="s">
        <v>202</v>
      </c>
      <c r="E14" s="117" t="s">
        <v>188</v>
      </c>
      <c r="F14" s="159"/>
    </row>
    <row r="15" spans="1:6" s="162" customFormat="1" x14ac:dyDescent="0.2">
      <c r="A15" s="178">
        <v>43777</v>
      </c>
      <c r="B15" s="179">
        <v>31.48</v>
      </c>
      <c r="C15" s="116" t="s">
        <v>296</v>
      </c>
      <c r="D15" s="116" t="s">
        <v>202</v>
      </c>
      <c r="E15" s="117" t="s">
        <v>188</v>
      </c>
      <c r="F15" s="2"/>
    </row>
    <row r="16" spans="1:6" s="162" customFormat="1" x14ac:dyDescent="0.2">
      <c r="A16" s="178">
        <v>43977</v>
      </c>
      <c r="B16" s="179">
        <v>8.6999999999999993</v>
      </c>
      <c r="C16" s="116" t="s">
        <v>287</v>
      </c>
      <c r="D16" s="116" t="s">
        <v>187</v>
      </c>
      <c r="E16" s="117" t="s">
        <v>188</v>
      </c>
      <c r="F16" s="2"/>
    </row>
    <row r="17" spans="1:6" s="162" customFormat="1" x14ac:dyDescent="0.2">
      <c r="A17" s="178">
        <v>43984</v>
      </c>
      <c r="B17" s="179">
        <v>15.6</v>
      </c>
      <c r="C17" s="116" t="s">
        <v>292</v>
      </c>
      <c r="D17" s="116" t="s">
        <v>291</v>
      </c>
      <c r="E17" s="117" t="s">
        <v>188</v>
      </c>
      <c r="F17" s="2"/>
    </row>
    <row r="18" spans="1:6" s="162" customFormat="1" x14ac:dyDescent="0.2">
      <c r="A18" s="166"/>
      <c r="B18" s="159"/>
      <c r="C18" s="167"/>
      <c r="D18" s="167"/>
      <c r="E18" s="168"/>
      <c r="F18" s="2"/>
    </row>
    <row r="19" spans="1:6" s="162" customFormat="1" x14ac:dyDescent="0.2">
      <c r="A19" s="170"/>
      <c r="B19" s="159"/>
      <c r="C19" s="167"/>
      <c r="D19" s="167"/>
      <c r="E19" s="168"/>
      <c r="F19" s="169"/>
    </row>
    <row r="20" spans="1:6" s="162" customFormat="1" x14ac:dyDescent="0.2">
      <c r="A20" s="170"/>
      <c r="B20" s="159"/>
      <c r="C20" s="167"/>
      <c r="D20" s="167"/>
      <c r="E20" s="168"/>
      <c r="F20" s="169"/>
    </row>
    <row r="21" spans="1:6" s="89" customFormat="1" ht="11.25" hidden="1" customHeight="1" x14ac:dyDescent="0.2">
      <c r="A21" s="110"/>
      <c r="B21" s="111"/>
      <c r="C21" s="116"/>
      <c r="D21" s="116"/>
      <c r="E21" s="117"/>
      <c r="F21" s="2"/>
    </row>
    <row r="22" spans="1:6" ht="34.5" customHeight="1" x14ac:dyDescent="0.2">
      <c r="A22" s="90" t="s">
        <v>129</v>
      </c>
      <c r="B22" s="102">
        <f>SUM(B11:B21)</f>
        <v>125.22</v>
      </c>
      <c r="C22" s="121" t="str">
        <f>IF(SUBTOTAL(3,B11:B21)=SUBTOTAL(103,B11:B21),'Summary and sign-off'!$A$47,'Summary and sign-off'!$A$48)</f>
        <v>Check - there are no hidden rows with data</v>
      </c>
      <c r="D22" s="198" t="str">
        <f>IF('Summary and sign-off'!F57='Summary and sign-off'!F53,'Summary and sign-off'!A50,'Summary and sign-off'!A49)</f>
        <v>Check - each entry provides sufficient information</v>
      </c>
      <c r="E22" s="198"/>
      <c r="F22" s="2"/>
    </row>
    <row r="23" spans="1:6" x14ac:dyDescent="0.2">
      <c r="A23" s="23"/>
      <c r="B23" s="22"/>
      <c r="C23" s="22"/>
      <c r="D23" s="22"/>
      <c r="E23" s="22"/>
      <c r="F23" s="40"/>
    </row>
    <row r="24" spans="1:6" x14ac:dyDescent="0.2">
      <c r="A24" s="23" t="s">
        <v>8</v>
      </c>
      <c r="B24" s="24"/>
      <c r="C24" s="29"/>
      <c r="D24" s="22"/>
      <c r="E24" s="22"/>
      <c r="F24" s="40"/>
    </row>
    <row r="25" spans="1:6" ht="12.75" customHeight="1" x14ac:dyDescent="0.2">
      <c r="A25" s="25" t="s">
        <v>160</v>
      </c>
      <c r="B25" s="25"/>
      <c r="C25" s="25"/>
      <c r="D25" s="25"/>
      <c r="E25" s="25"/>
      <c r="F25" s="40"/>
    </row>
    <row r="26" spans="1:6" x14ac:dyDescent="0.2">
      <c r="A26" s="25" t="s">
        <v>159</v>
      </c>
      <c r="B26" s="33"/>
      <c r="C26" s="45"/>
      <c r="D26" s="46"/>
      <c r="E26" s="46"/>
      <c r="F26" s="40"/>
    </row>
    <row r="27" spans="1:6" x14ac:dyDescent="0.2">
      <c r="A27" s="25" t="s">
        <v>157</v>
      </c>
      <c r="B27" s="27"/>
      <c r="C27" s="28"/>
      <c r="D27" s="28"/>
      <c r="E27" s="28"/>
      <c r="F27" s="29"/>
    </row>
    <row r="28" spans="1:6" x14ac:dyDescent="0.2">
      <c r="A28" s="33" t="s">
        <v>13</v>
      </c>
      <c r="B28" s="33"/>
      <c r="C28" s="45"/>
      <c r="D28" s="45"/>
      <c r="E28" s="45"/>
      <c r="F28" s="40"/>
    </row>
    <row r="29" spans="1:6" ht="12.75" customHeight="1" x14ac:dyDescent="0.2">
      <c r="A29" s="33" t="s">
        <v>166</v>
      </c>
      <c r="B29" s="33"/>
      <c r="C29" s="47"/>
      <c r="D29" s="47"/>
      <c r="E29" s="35"/>
      <c r="F29" s="40"/>
    </row>
    <row r="30" spans="1:6" x14ac:dyDescent="0.2">
      <c r="A30" s="22"/>
      <c r="B30" s="22"/>
      <c r="C30" s="22"/>
      <c r="D30" s="22"/>
      <c r="E30" s="22"/>
      <c r="F30" s="40"/>
    </row>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x14ac:dyDescent="0.2"/>
    <row r="50"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x14ac:dyDescent="0.2"/>
    <row r="68" hidden="1" x14ac:dyDescent="0.2"/>
    <row r="69" hidden="1" x14ac:dyDescent="0.2"/>
    <row r="70" hidden="1" x14ac:dyDescent="0.2"/>
    <row r="71" hidden="1" x14ac:dyDescent="0.2"/>
    <row r="72" hidden="1" x14ac:dyDescent="0.2"/>
    <row r="73" x14ac:dyDescent="0.2"/>
    <row r="74" x14ac:dyDescent="0.2"/>
    <row r="75" hidden="1" x14ac:dyDescent="0.2"/>
    <row r="76" hidden="1" x14ac:dyDescent="0.2"/>
    <row r="77" hidden="1" x14ac:dyDescent="0.2"/>
    <row r="78" hidden="1" x14ac:dyDescent="0.2"/>
    <row r="79" hidden="1" x14ac:dyDescent="0.2"/>
    <row r="80" hidden="1" x14ac:dyDescent="0.2"/>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1"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61"/>
  <sheetViews>
    <sheetView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94" t="s">
        <v>6</v>
      </c>
      <c r="B1" s="194"/>
      <c r="C1" s="194"/>
      <c r="D1" s="194"/>
      <c r="E1" s="194"/>
      <c r="F1" s="26"/>
    </row>
    <row r="2" spans="1:6" ht="21" customHeight="1" x14ac:dyDescent="0.2">
      <c r="A2" s="4" t="s">
        <v>2</v>
      </c>
      <c r="B2" s="197" t="str">
        <f>'Summary and sign-off'!B2:F2</f>
        <v>Sport NZ</v>
      </c>
      <c r="C2" s="197"/>
      <c r="D2" s="197"/>
      <c r="E2" s="197"/>
      <c r="F2" s="26"/>
    </row>
    <row r="3" spans="1:6" ht="21" customHeight="1" x14ac:dyDescent="0.2">
      <c r="A3" s="4" t="s">
        <v>3</v>
      </c>
      <c r="B3" s="197" t="str">
        <f>'Summary and sign-off'!B3:F3</f>
        <v>Peter Miskimmin</v>
      </c>
      <c r="C3" s="197"/>
      <c r="D3" s="197"/>
      <c r="E3" s="197"/>
      <c r="F3" s="26"/>
    </row>
    <row r="4" spans="1:6" ht="21" customHeight="1" x14ac:dyDescent="0.2">
      <c r="A4" s="4" t="s">
        <v>77</v>
      </c>
      <c r="B4" s="197">
        <f>'Summary and sign-off'!B4:F4</f>
        <v>43647</v>
      </c>
      <c r="C4" s="197"/>
      <c r="D4" s="197"/>
      <c r="E4" s="197"/>
      <c r="F4" s="26"/>
    </row>
    <row r="5" spans="1:6" ht="21" customHeight="1" x14ac:dyDescent="0.2">
      <c r="A5" s="4" t="s">
        <v>78</v>
      </c>
      <c r="B5" s="197">
        <f>'Summary and sign-off'!B5:F5</f>
        <v>44012</v>
      </c>
      <c r="C5" s="197"/>
      <c r="D5" s="197"/>
      <c r="E5" s="197"/>
      <c r="F5" s="26"/>
    </row>
    <row r="6" spans="1:6" ht="21" customHeight="1" x14ac:dyDescent="0.2">
      <c r="A6" s="4" t="s">
        <v>29</v>
      </c>
      <c r="B6" s="192" t="s">
        <v>28</v>
      </c>
      <c r="C6" s="192"/>
      <c r="D6" s="192"/>
      <c r="E6" s="192"/>
      <c r="F6" s="36"/>
    </row>
    <row r="7" spans="1:6" ht="21" customHeight="1" x14ac:dyDescent="0.2">
      <c r="A7" s="4" t="s">
        <v>104</v>
      </c>
      <c r="B7" s="192" t="s">
        <v>116</v>
      </c>
      <c r="C7" s="192"/>
      <c r="D7" s="192"/>
      <c r="E7" s="192"/>
      <c r="F7" s="36"/>
    </row>
    <row r="8" spans="1:6" ht="35.25" customHeight="1" x14ac:dyDescent="0.2">
      <c r="A8" s="201" t="s">
        <v>0</v>
      </c>
      <c r="B8" s="201"/>
      <c r="C8" s="208"/>
      <c r="D8" s="208"/>
      <c r="E8" s="208"/>
      <c r="F8" s="26"/>
    </row>
    <row r="9" spans="1:6" ht="35.25" customHeight="1" x14ac:dyDescent="0.2">
      <c r="A9" s="209" t="s">
        <v>127</v>
      </c>
      <c r="B9" s="210"/>
      <c r="C9" s="210"/>
      <c r="D9" s="210"/>
      <c r="E9" s="210"/>
      <c r="F9" s="26"/>
    </row>
    <row r="10" spans="1:6" ht="27" customHeight="1" x14ac:dyDescent="0.2">
      <c r="A10" s="156" t="s">
        <v>49</v>
      </c>
      <c r="B10" s="37" t="s">
        <v>31</v>
      </c>
      <c r="C10" s="37" t="s">
        <v>51</v>
      </c>
      <c r="D10" s="37" t="s">
        <v>162</v>
      </c>
      <c r="E10" s="37" t="s">
        <v>76</v>
      </c>
      <c r="F10" s="38"/>
    </row>
    <row r="11" spans="1:6" s="89" customFormat="1" hidden="1" x14ac:dyDescent="0.2">
      <c r="A11" s="157"/>
      <c r="B11" s="111"/>
      <c r="C11" s="116"/>
      <c r="D11" s="116"/>
      <c r="E11" s="117"/>
      <c r="F11" s="3"/>
    </row>
    <row r="12" spans="1:6" s="89" customFormat="1" x14ac:dyDescent="0.2">
      <c r="A12" s="157">
        <v>43671</v>
      </c>
      <c r="B12" s="179">
        <f>14+45.07</f>
        <v>59.07</v>
      </c>
      <c r="C12" s="116" t="s">
        <v>208</v>
      </c>
      <c r="D12" s="116" t="s">
        <v>209</v>
      </c>
      <c r="E12" s="117"/>
      <c r="F12" s="3"/>
    </row>
    <row r="13" spans="1:6" s="89" customFormat="1" ht="25.5" x14ac:dyDescent="0.2">
      <c r="A13" s="170"/>
      <c r="B13" s="159"/>
      <c r="C13" s="167" t="s">
        <v>300</v>
      </c>
      <c r="D13" s="167"/>
      <c r="E13" s="168"/>
      <c r="F13" s="3"/>
    </row>
    <row r="14" spans="1:6" s="89" customFormat="1" x14ac:dyDescent="0.2">
      <c r="A14" s="170"/>
      <c r="B14" s="159"/>
      <c r="C14" s="167"/>
      <c r="D14" s="167"/>
      <c r="E14" s="168"/>
      <c r="F14" s="3"/>
    </row>
    <row r="15" spans="1:6" s="89" customFormat="1" x14ac:dyDescent="0.2">
      <c r="A15" s="170"/>
      <c r="B15" s="159"/>
      <c r="C15" s="167"/>
      <c r="D15" s="167"/>
      <c r="E15" s="168"/>
      <c r="F15" s="3"/>
    </row>
    <row r="16" spans="1:6" s="162" customFormat="1" x14ac:dyDescent="0.2">
      <c r="A16" s="166"/>
      <c r="B16" s="159"/>
      <c r="C16" s="167"/>
      <c r="D16" s="167"/>
      <c r="E16" s="168"/>
      <c r="F16" s="171"/>
    </row>
    <row r="17" spans="1:6" s="162" customFormat="1" x14ac:dyDescent="0.2">
      <c r="A17" s="170"/>
      <c r="B17" s="159"/>
      <c r="C17" s="167"/>
      <c r="D17" s="167"/>
      <c r="E17" s="168"/>
      <c r="F17" s="171"/>
    </row>
    <row r="18" spans="1:6" s="162" customFormat="1" x14ac:dyDescent="0.2">
      <c r="A18" s="170"/>
      <c r="B18" s="159"/>
      <c r="C18" s="167"/>
      <c r="D18" s="167"/>
      <c r="E18" s="168"/>
      <c r="F18" s="171"/>
    </row>
    <row r="19" spans="1:6" s="89" customFormat="1" hidden="1" x14ac:dyDescent="0.2">
      <c r="A19" s="157"/>
      <c r="B19" s="111"/>
      <c r="C19" s="116"/>
      <c r="D19" s="116"/>
      <c r="E19" s="117"/>
      <c r="F19" s="3"/>
    </row>
    <row r="20" spans="1:6" ht="34.5" customHeight="1" x14ac:dyDescent="0.2">
      <c r="A20" s="158" t="s">
        <v>136</v>
      </c>
      <c r="B20" s="102">
        <f>SUM(B11:B19)</f>
        <v>59.07</v>
      </c>
      <c r="C20" s="121" t="str">
        <f>IF(SUBTOTAL(3,B11:B19)=SUBTOTAL(103,B11:B19),'Summary and sign-off'!$A$47,'Summary and sign-off'!$A$48)</f>
        <v>Check - there are no hidden rows with data</v>
      </c>
      <c r="D20" s="198" t="str">
        <f>IF('Summary and sign-off'!F58='Summary and sign-off'!F53,'Summary and sign-off'!A50,'Summary and sign-off'!A49)</f>
        <v>Check - each entry provides sufficient information</v>
      </c>
      <c r="E20" s="198"/>
      <c r="F20" s="39"/>
    </row>
    <row r="21" spans="1:6" ht="14.1" customHeight="1" x14ac:dyDescent="0.2">
      <c r="A21" s="40"/>
      <c r="B21" s="29"/>
      <c r="C21" s="22"/>
      <c r="D21" s="22"/>
      <c r="E21" s="22"/>
      <c r="F21" s="26"/>
    </row>
    <row r="22" spans="1:6" x14ac:dyDescent="0.2">
      <c r="A22" s="23" t="s">
        <v>7</v>
      </c>
      <c r="B22" s="22"/>
      <c r="C22" s="22"/>
      <c r="D22" s="22"/>
      <c r="E22" s="22"/>
      <c r="F22" s="26"/>
    </row>
    <row r="23" spans="1:6" ht="12.6" customHeight="1" x14ac:dyDescent="0.2">
      <c r="A23" s="25" t="s">
        <v>50</v>
      </c>
      <c r="B23" s="22"/>
      <c r="C23" s="22"/>
      <c r="D23" s="22"/>
      <c r="E23" s="22"/>
      <c r="F23" s="26"/>
    </row>
    <row r="24" spans="1:6" x14ac:dyDescent="0.2">
      <c r="A24" s="25" t="s">
        <v>157</v>
      </c>
      <c r="B24" s="27"/>
      <c r="C24" s="28"/>
      <c r="D24" s="28"/>
      <c r="E24" s="28"/>
      <c r="F24" s="29"/>
    </row>
    <row r="25" spans="1:6" x14ac:dyDescent="0.2">
      <c r="A25" s="33" t="s">
        <v>13</v>
      </c>
      <c r="B25" s="34"/>
      <c r="C25" s="29"/>
      <c r="D25" s="29"/>
      <c r="E25" s="29"/>
      <c r="F25" s="29"/>
    </row>
    <row r="26" spans="1:6" ht="12.75" customHeight="1" x14ac:dyDescent="0.2">
      <c r="A26" s="33" t="s">
        <v>166</v>
      </c>
      <c r="B26" s="41"/>
      <c r="C26" s="35"/>
      <c r="D26" s="35"/>
      <c r="E26" s="35"/>
      <c r="F26" s="35"/>
    </row>
    <row r="27" spans="1:6" x14ac:dyDescent="0.2">
      <c r="A27" s="40"/>
      <c r="B27" s="42"/>
      <c r="C27" s="22"/>
      <c r="D27" s="22"/>
      <c r="E27" s="22"/>
      <c r="F27" s="40"/>
    </row>
    <row r="28" spans="1:6" hidden="1" x14ac:dyDescent="0.2">
      <c r="A28" s="22"/>
      <c r="B28" s="22"/>
      <c r="C28" s="22"/>
      <c r="D28" s="22"/>
      <c r="E28" s="40"/>
    </row>
    <row r="29" spans="1:6" ht="12.75" hidden="1" customHeight="1" x14ac:dyDescent="0.2"/>
    <row r="30" spans="1:6" hidden="1" x14ac:dyDescent="0.2">
      <c r="A30" s="43"/>
      <c r="B30" s="43"/>
      <c r="C30" s="43"/>
      <c r="D30" s="43"/>
      <c r="E30" s="43"/>
      <c r="F30" s="26"/>
    </row>
    <row r="31" spans="1:6" hidden="1" x14ac:dyDescent="0.2">
      <c r="A31" s="43"/>
      <c r="B31" s="43"/>
      <c r="C31" s="43"/>
      <c r="D31" s="43"/>
      <c r="E31" s="43"/>
      <c r="F31" s="26"/>
    </row>
    <row r="32" spans="1:6" hidden="1" x14ac:dyDescent="0.2">
      <c r="A32" s="43"/>
      <c r="B32" s="43"/>
      <c r="C32" s="43"/>
      <c r="D32" s="43"/>
      <c r="E32" s="43"/>
      <c r="F32" s="26"/>
    </row>
    <row r="33" spans="1:6" hidden="1" x14ac:dyDescent="0.2">
      <c r="A33" s="43"/>
      <c r="B33" s="43"/>
      <c r="C33" s="43"/>
      <c r="D33" s="43"/>
      <c r="E33" s="43"/>
      <c r="F33" s="26"/>
    </row>
    <row r="34" spans="1:6" hidden="1" x14ac:dyDescent="0.2">
      <c r="A34" s="43"/>
      <c r="B34" s="43"/>
      <c r="C34" s="43"/>
      <c r="D34" s="43"/>
      <c r="E34" s="43"/>
      <c r="F34" s="26"/>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xWindow="150" yWindow="801"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50" yWindow="8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B7:E7</xm:sqref>
        </x14:dataValidation>
        <x14:dataValidation type="decimal" operator="greaterThan" allowBlank="1" showInputMessage="1" showErrorMessage="1" error="This cell must contain a dollar figure" xr:uid="{00000000-0002-0000-0500-000004000000}">
          <x14:formula1>
            <xm:f>'Summary and sign-off'!$A$46</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J80"/>
  <sheetViews>
    <sheetView zoomScaleNormal="100" workbookViewId="0">
      <selection activeCell="B7" sqref="B7:F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94" t="s">
        <v>32</v>
      </c>
      <c r="B1" s="194"/>
      <c r="C1" s="194"/>
      <c r="D1" s="194"/>
      <c r="E1" s="194"/>
      <c r="F1" s="194"/>
    </row>
    <row r="2" spans="1:6" ht="21" customHeight="1" x14ac:dyDescent="0.2">
      <c r="A2" s="4" t="s">
        <v>2</v>
      </c>
      <c r="B2" s="197" t="str">
        <f>'Summary and sign-off'!B2:F2</f>
        <v>Sport NZ</v>
      </c>
      <c r="C2" s="197"/>
      <c r="D2" s="197"/>
      <c r="E2" s="197"/>
      <c r="F2" s="197"/>
    </row>
    <row r="3" spans="1:6" ht="21" customHeight="1" x14ac:dyDescent="0.2">
      <c r="A3" s="4" t="s">
        <v>3</v>
      </c>
      <c r="B3" s="197" t="str">
        <f>'Summary and sign-off'!B3:F3</f>
        <v>Peter Miskimmin</v>
      </c>
      <c r="C3" s="197"/>
      <c r="D3" s="197"/>
      <c r="E3" s="197"/>
      <c r="F3" s="197"/>
    </row>
    <row r="4" spans="1:6" ht="21" customHeight="1" x14ac:dyDescent="0.2">
      <c r="A4" s="4" t="s">
        <v>77</v>
      </c>
      <c r="B4" s="197">
        <f>'Summary and sign-off'!B4:F4</f>
        <v>43647</v>
      </c>
      <c r="C4" s="197"/>
      <c r="D4" s="197"/>
      <c r="E4" s="197"/>
      <c r="F4" s="197"/>
    </row>
    <row r="5" spans="1:6" ht="21" customHeight="1" x14ac:dyDescent="0.2">
      <c r="A5" s="4" t="s">
        <v>78</v>
      </c>
      <c r="B5" s="197">
        <f>'Summary and sign-off'!B5:F5</f>
        <v>44012</v>
      </c>
      <c r="C5" s="197"/>
      <c r="D5" s="197"/>
      <c r="E5" s="197"/>
      <c r="F5" s="197"/>
    </row>
    <row r="6" spans="1:6" ht="21" customHeight="1" x14ac:dyDescent="0.2">
      <c r="A6" s="4" t="s">
        <v>167</v>
      </c>
      <c r="B6" s="192" t="s">
        <v>28</v>
      </c>
      <c r="C6" s="192"/>
      <c r="D6" s="192"/>
      <c r="E6" s="192"/>
      <c r="F6" s="192"/>
    </row>
    <row r="7" spans="1:6" ht="21" customHeight="1" x14ac:dyDescent="0.2">
      <c r="A7" s="4" t="s">
        <v>104</v>
      </c>
      <c r="B7" s="192" t="s">
        <v>116</v>
      </c>
      <c r="C7" s="192"/>
      <c r="D7" s="192"/>
      <c r="E7" s="192"/>
      <c r="F7" s="192"/>
    </row>
    <row r="8" spans="1:6" ht="36" customHeight="1" x14ac:dyDescent="0.2">
      <c r="A8" s="201" t="s">
        <v>52</v>
      </c>
      <c r="B8" s="201"/>
      <c r="C8" s="201"/>
      <c r="D8" s="201"/>
      <c r="E8" s="201"/>
      <c r="F8" s="201"/>
    </row>
    <row r="9" spans="1:6" ht="36" customHeight="1" x14ac:dyDescent="0.2">
      <c r="A9" s="209" t="s">
        <v>134</v>
      </c>
      <c r="B9" s="210"/>
      <c r="C9" s="210"/>
      <c r="D9" s="210"/>
      <c r="E9" s="210"/>
      <c r="F9" s="210"/>
    </row>
    <row r="10" spans="1:6" ht="39" customHeight="1" x14ac:dyDescent="0.2">
      <c r="A10" s="18" t="s">
        <v>49</v>
      </c>
      <c r="B10" s="9" t="s">
        <v>163</v>
      </c>
      <c r="C10" s="9" t="s">
        <v>82</v>
      </c>
      <c r="D10" s="9" t="s">
        <v>33</v>
      </c>
      <c r="E10" s="9" t="s">
        <v>83</v>
      </c>
      <c r="F10" s="9" t="s">
        <v>126</v>
      </c>
    </row>
    <row r="11" spans="1:6" s="89" customFormat="1" hidden="1" x14ac:dyDescent="0.2">
      <c r="A11" s="114"/>
      <c r="B11" s="116"/>
      <c r="C11" s="120"/>
      <c r="D11" s="116"/>
      <c r="E11" s="118"/>
      <c r="F11" s="117"/>
    </row>
    <row r="12" spans="1:6" s="162" customFormat="1" ht="25.5" x14ac:dyDescent="0.2">
      <c r="A12" s="163">
        <v>43673</v>
      </c>
      <c r="B12" s="172" t="s">
        <v>181</v>
      </c>
      <c r="C12" s="173" t="s">
        <v>36</v>
      </c>
      <c r="D12" s="172" t="s">
        <v>175</v>
      </c>
      <c r="E12" s="174" t="s">
        <v>41</v>
      </c>
      <c r="F12" s="175"/>
    </row>
    <row r="13" spans="1:6" s="162" customFormat="1" ht="25.5" x14ac:dyDescent="0.2">
      <c r="A13" s="163" t="s">
        <v>182</v>
      </c>
      <c r="B13" s="172" t="s">
        <v>184</v>
      </c>
      <c r="C13" s="173" t="s">
        <v>34</v>
      </c>
      <c r="D13" s="172" t="s">
        <v>175</v>
      </c>
      <c r="E13" s="174" t="s">
        <v>41</v>
      </c>
      <c r="F13" s="175"/>
    </row>
    <row r="14" spans="1:6" s="162" customFormat="1" ht="25.5" x14ac:dyDescent="0.2">
      <c r="A14" s="163">
        <v>43739</v>
      </c>
      <c r="B14" s="172" t="s">
        <v>248</v>
      </c>
      <c r="C14" s="173" t="s">
        <v>36</v>
      </c>
      <c r="D14" s="172" t="s">
        <v>175</v>
      </c>
      <c r="E14" s="174" t="s">
        <v>40</v>
      </c>
      <c r="F14" s="175"/>
    </row>
    <row r="15" spans="1:6" s="162" customFormat="1" x14ac:dyDescent="0.2">
      <c r="A15" s="163">
        <v>43861</v>
      </c>
      <c r="B15" s="172" t="s">
        <v>267</v>
      </c>
      <c r="C15" s="173" t="s">
        <v>36</v>
      </c>
      <c r="D15" s="172" t="s">
        <v>268</v>
      </c>
      <c r="E15" s="174" t="s">
        <v>39</v>
      </c>
      <c r="F15" s="175"/>
    </row>
    <row r="16" spans="1:6" s="162" customFormat="1" x14ac:dyDescent="0.2">
      <c r="A16" s="163">
        <v>43983</v>
      </c>
      <c r="B16" s="172" t="s">
        <v>294</v>
      </c>
      <c r="C16" s="173" t="s">
        <v>34</v>
      </c>
      <c r="D16" s="172" t="s">
        <v>295</v>
      </c>
      <c r="E16" s="174" t="s">
        <v>39</v>
      </c>
      <c r="F16" s="175"/>
    </row>
    <row r="17" spans="1:7" s="162" customFormat="1" x14ac:dyDescent="0.2">
      <c r="A17" s="163"/>
      <c r="B17" s="172"/>
      <c r="C17" s="173"/>
      <c r="D17" s="172"/>
      <c r="E17" s="174"/>
      <c r="F17" s="175"/>
    </row>
    <row r="18" spans="1:7" s="162" customFormat="1" x14ac:dyDescent="0.2">
      <c r="A18" s="163"/>
      <c r="B18" s="172"/>
      <c r="C18" s="173"/>
      <c r="D18" s="172"/>
      <c r="E18" s="174"/>
      <c r="F18" s="175"/>
    </row>
    <row r="19" spans="1:7" s="162" customFormat="1" x14ac:dyDescent="0.2">
      <c r="A19" s="163"/>
      <c r="B19" s="172"/>
      <c r="C19" s="173"/>
      <c r="D19" s="172"/>
      <c r="E19" s="174"/>
      <c r="F19" s="175"/>
    </row>
    <row r="20" spans="1:7" s="162" customFormat="1" x14ac:dyDescent="0.2">
      <c r="A20" s="163"/>
      <c r="B20" s="172"/>
      <c r="C20" s="173"/>
      <c r="D20" s="172"/>
      <c r="E20" s="174"/>
      <c r="F20" s="175"/>
    </row>
    <row r="21" spans="1:7" s="162" customFormat="1" x14ac:dyDescent="0.2">
      <c r="A21" s="163"/>
      <c r="B21" s="172"/>
      <c r="C21" s="173"/>
      <c r="D21" s="172"/>
      <c r="E21" s="174"/>
      <c r="F21" s="175"/>
    </row>
    <row r="22" spans="1:7" s="89" customFormat="1" hidden="1" x14ac:dyDescent="0.2">
      <c r="A22" s="114"/>
      <c r="B22" s="116"/>
      <c r="C22" s="120"/>
      <c r="D22" s="116"/>
      <c r="E22" s="118"/>
      <c r="F22" s="117"/>
    </row>
    <row r="23" spans="1:7" ht="34.5" customHeight="1" x14ac:dyDescent="0.2">
      <c r="A23" s="91" t="s">
        <v>164</v>
      </c>
      <c r="B23" s="92" t="s">
        <v>35</v>
      </c>
      <c r="C23" s="93">
        <f>C24+C25</f>
        <v>5</v>
      </c>
      <c r="D23" s="129" t="str">
        <f>IF(SUBTOTAL(3,C11:C22)=SUBTOTAL(103,C11:C22),'Summary and sign-off'!$A$47,'Summary and sign-off'!$A$48)</f>
        <v>Check - there are no hidden rows with data</v>
      </c>
      <c r="E23" s="211" t="str">
        <f>IF('Summary and sign-off'!F59='Summary and sign-off'!F53,'Summary and sign-off'!A51,'Summary and sign-off'!A49)</f>
        <v>Check - each entry provides sufficient information</v>
      </c>
      <c r="F23" s="211"/>
      <c r="G23" s="89"/>
    </row>
    <row r="24" spans="1:7" ht="25.5" customHeight="1" x14ac:dyDescent="0.25">
      <c r="A24" s="94"/>
      <c r="B24" s="95" t="s">
        <v>36</v>
      </c>
      <c r="C24" s="96">
        <f>COUNTIF(C11:C22,'Summary and sign-off'!A44)</f>
        <v>3</v>
      </c>
      <c r="D24" s="19"/>
      <c r="E24" s="20"/>
      <c r="F24" s="21"/>
    </row>
    <row r="25" spans="1:7" ht="25.5" customHeight="1" x14ac:dyDescent="0.25">
      <c r="A25" s="94"/>
      <c r="B25" s="95" t="s">
        <v>34</v>
      </c>
      <c r="C25" s="96">
        <f>COUNTIF(C11:C22,'Summary and sign-off'!A45)</f>
        <v>2</v>
      </c>
      <c r="D25" s="19"/>
      <c r="E25" s="20"/>
      <c r="F25" s="21"/>
    </row>
    <row r="26" spans="1:7" x14ac:dyDescent="0.2">
      <c r="A26" s="22"/>
      <c r="B26" s="23"/>
      <c r="C26" s="22"/>
      <c r="D26" s="24"/>
      <c r="E26" s="24"/>
      <c r="F26" s="22"/>
    </row>
    <row r="27" spans="1:7" x14ac:dyDescent="0.2">
      <c r="A27" s="23" t="s">
        <v>7</v>
      </c>
      <c r="B27" s="23"/>
      <c r="C27" s="23"/>
      <c r="D27" s="23"/>
      <c r="E27" s="23"/>
      <c r="F27" s="23"/>
    </row>
    <row r="28" spans="1:7" ht="12.6" customHeight="1" x14ac:dyDescent="0.2">
      <c r="A28" s="25" t="s">
        <v>50</v>
      </c>
      <c r="B28" s="22"/>
      <c r="C28" s="22"/>
      <c r="D28" s="22"/>
      <c r="E28" s="22"/>
      <c r="F28" s="26"/>
    </row>
    <row r="29" spans="1:7" x14ac:dyDescent="0.2">
      <c r="A29" s="25" t="s">
        <v>157</v>
      </c>
      <c r="B29" s="27"/>
      <c r="C29" s="28"/>
      <c r="D29" s="28"/>
      <c r="E29" s="28"/>
      <c r="F29" s="29"/>
    </row>
    <row r="30" spans="1:7" x14ac:dyDescent="0.2">
      <c r="A30" s="25" t="s">
        <v>15</v>
      </c>
      <c r="B30" s="30"/>
      <c r="C30" s="30"/>
      <c r="D30" s="30"/>
      <c r="E30" s="30"/>
      <c r="F30" s="30"/>
    </row>
    <row r="31" spans="1:7" ht="12.75" customHeight="1" x14ac:dyDescent="0.2">
      <c r="A31" s="25" t="s">
        <v>93</v>
      </c>
      <c r="B31" s="22"/>
      <c r="C31" s="22"/>
      <c r="D31" s="22"/>
      <c r="E31" s="22"/>
      <c r="F31" s="22"/>
    </row>
    <row r="32" spans="1:7" ht="12.95" customHeight="1" x14ac:dyDescent="0.2">
      <c r="A32" s="31" t="s">
        <v>37</v>
      </c>
      <c r="B32" s="32"/>
      <c r="C32" s="32"/>
      <c r="D32" s="32"/>
      <c r="E32" s="32"/>
      <c r="F32" s="32"/>
    </row>
    <row r="33" spans="1:6" x14ac:dyDescent="0.2">
      <c r="A33" s="33" t="s">
        <v>53</v>
      </c>
      <c r="B33" s="34"/>
      <c r="C33" s="29"/>
      <c r="D33" s="29"/>
      <c r="E33" s="29"/>
      <c r="F33" s="29"/>
    </row>
    <row r="34" spans="1:6" ht="12.75" customHeight="1" x14ac:dyDescent="0.2">
      <c r="A34" s="33" t="s">
        <v>166</v>
      </c>
      <c r="B34" s="25"/>
      <c r="C34" s="35"/>
      <c r="D34" s="35"/>
      <c r="E34" s="35"/>
      <c r="F34" s="35"/>
    </row>
    <row r="35" spans="1:6" ht="12.75" customHeight="1" x14ac:dyDescent="0.2">
      <c r="A35" s="25"/>
      <c r="B35" s="25"/>
      <c r="C35" s="35"/>
      <c r="D35" s="35"/>
      <c r="E35" s="35"/>
      <c r="F35" s="35"/>
    </row>
    <row r="36" spans="1:6" ht="12.75" hidden="1" customHeight="1" x14ac:dyDescent="0.2">
      <c r="A36" s="25"/>
      <c r="B36" s="25"/>
      <c r="C36" s="35"/>
      <c r="D36" s="35"/>
      <c r="E36" s="35"/>
      <c r="F36" s="35"/>
    </row>
    <row r="37" spans="1:6" hidden="1" x14ac:dyDescent="0.2"/>
    <row r="38" spans="1:6" hidden="1" x14ac:dyDescent="0.2"/>
    <row r="39" spans="1:6" hidden="1" x14ac:dyDescent="0.2">
      <c r="A39" s="23"/>
      <c r="B39" s="23"/>
      <c r="C39" s="23"/>
      <c r="D39" s="23"/>
      <c r="E39" s="23"/>
      <c r="F39" s="23"/>
    </row>
    <row r="40" spans="1:6" hidden="1" x14ac:dyDescent="0.2">
      <c r="A40" s="23"/>
      <c r="B40" s="23"/>
      <c r="C40" s="23"/>
      <c r="D40" s="23"/>
      <c r="E40" s="23"/>
      <c r="F40" s="23"/>
    </row>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sheetData>
  <sheetProtection sheet="1" formatCells="0" insertRows="0" deleteRows="0"/>
  <mergeCells count="10">
    <mergeCell ref="E23:F23"/>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6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xr:uid="{00000000-0002-0000-06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6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600-000003000000}">
          <x14:formula1>
            <xm:f>'Summary and sign-off'!$A$29:$A$30</xm:f>
          </x14:formula1>
          <xm:sqref>B7:F7</xm:sqref>
        </x14:dataValidation>
        <x14:dataValidation type="list" allowBlank="1" showInputMessage="1" showErrorMessage="1" error="Use the drop down list (at the right of the cell)" xr:uid="{00000000-0002-0000-0600-000004000000}">
          <x14:formula1>
            <xm:f>'Summary and sign-off'!$A$44:$A$45</xm:f>
          </x14:formula1>
          <xm:sqref>C11:C22</xm:sqref>
        </x14:dataValidation>
        <x14:dataValidation type="list" errorStyle="information" operator="greaterThan" allowBlank="1" showInputMessage="1" prompt="Provide specific $ value if possible" xr:uid="{00000000-0002-0000-0600-000005000000}">
          <x14:formula1>
            <xm:f>'Summary and sign-off'!$A$38:$A$43</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222B8DFF6FAC43BD2D6B2BCD22F265" ma:contentTypeVersion="13" ma:contentTypeDescription="Create a new document." ma:contentTypeScope="" ma:versionID="1cc314e8aa7eaaa8159ebb537a1705d0">
  <xsd:schema xmlns:xsd="http://www.w3.org/2001/XMLSchema" xmlns:xs="http://www.w3.org/2001/XMLSchema" xmlns:p="http://schemas.microsoft.com/office/2006/metadata/properties" xmlns:ns3="6dd40e16-0b78-4915-8281-59a627a71b18" xmlns:ns4="e1ebbb71-dc1e-45af-8723-4168bf62fee8" targetNamespace="http://schemas.microsoft.com/office/2006/metadata/properties" ma:root="true" ma:fieldsID="6f05b6f22d26a919c270bd7db26b738e" ns3:_="" ns4:_="">
    <xsd:import namespace="6dd40e16-0b78-4915-8281-59a627a71b18"/>
    <xsd:import namespace="e1ebbb71-dc1e-45af-8723-4168bf62fee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0e16-0b78-4915-8281-59a627a71b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ebbb71-dc1e-45af-8723-4168bf62fe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e1ebbb71-dc1e-45af-8723-4168bf62fee8"/>
    <ds:schemaRef ds:uri="6dd40e16-0b78-4915-8281-59a627a71b18"/>
    <ds:schemaRef ds:uri="http://www.w3.org/XML/1998/namespace"/>
    <ds:schemaRef ds:uri="http://purl.org/dc/dcmitype/"/>
  </ds:schemaRefs>
</ds:datastoreItem>
</file>

<file path=customXml/itemProps3.xml><?xml version="1.0" encoding="utf-8"?>
<ds:datastoreItem xmlns:ds="http://schemas.openxmlformats.org/officeDocument/2006/customXml" ds:itemID="{7A9B2A57-2F5B-41DA-AA0A-4F77F2AD25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0e16-0b78-4915-8281-59a627a71b18"/>
    <ds:schemaRef ds:uri="e1ebbb71-dc1e-45af-8723-4168bf62f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CE Expense Disclosure Workbook and Guide</dc:title>
  <dc:subject/>
  <dc:creator>mortensenm</dc:creator>
  <cp:keywords/>
  <dc:description>Version 7 - for review by SIT - ready 2/10/18</dc:description>
  <cp:lastModifiedBy>Paula Ryan</cp:lastModifiedBy>
  <cp:lastPrinted>2020-07-15T22:31:48Z</cp:lastPrinted>
  <dcterms:created xsi:type="dcterms:W3CDTF">2010-10-17T20:59:02Z</dcterms:created>
  <dcterms:modified xsi:type="dcterms:W3CDTF">2020-07-27T23:02:45Z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0x010100C5222B8DFF6FAC43BD2D6B2BCD22F265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