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kaitlynh\OneDrive - SportNZGroup\Documents\SPORT NZ\Kylie\"/>
    </mc:Choice>
  </mc:AlternateContent>
  <xr:revisionPtr revIDLastSave="0" documentId="8_{0F9E6040-EFF5-40D3-942A-F4731F554D0B}" xr6:coauthVersionLast="43" xr6:coauthVersionMax="43" xr10:uidLastSave="{00000000-0000-0000-0000-000000000000}"/>
  <bookViews>
    <workbookView xWindow="1103" yWindow="1103" windowWidth="15390" windowHeight="953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benefits'!$A$1:$F$38</definedName>
    <definedName name="_xlnm.Print_Area" localSheetId="0">'Guidance for agencies'!$A$1:$A$58</definedName>
    <definedName name="_xlnm.Print_Area" localSheetId="3">Hospitality!$A$1:$E$29</definedName>
    <definedName name="_xlnm.Print_Area" localSheetId="1">'Summary and sign-off'!$A$1:$F$23</definedName>
    <definedName name="_xlnm.Print_Area" localSheetId="2">Travel!$A$1:$E$319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5" i="1" l="1"/>
  <c r="B244" i="1" l="1"/>
  <c r="B246" i="1"/>
  <c r="B109" i="1" l="1"/>
  <c r="B115" i="1"/>
  <c r="B122" i="1" l="1"/>
  <c r="B118" i="1"/>
  <c r="B241" i="1"/>
  <c r="B113" i="1" l="1"/>
  <c r="B219" i="1" l="1"/>
  <c r="B208" i="1"/>
  <c r="B272" i="1"/>
  <c r="B243" i="1"/>
  <c r="B240" i="1"/>
  <c r="B239" i="1"/>
  <c r="B234" i="1"/>
  <c r="B236" i="1"/>
  <c r="B23" i="3"/>
  <c r="B21" i="1"/>
  <c r="B22" i="1"/>
  <c r="B16" i="1" l="1"/>
  <c r="B136" i="1"/>
  <c r="B130" i="1"/>
  <c r="B121" i="1"/>
  <c r="B102" i="1"/>
  <c r="B97" i="1"/>
  <c r="B96" i="1"/>
  <c r="B91" i="1"/>
  <c r="B86" i="1"/>
  <c r="B81" i="1"/>
  <c r="B72" i="1"/>
  <c r="B63" i="1"/>
  <c r="B62" i="1"/>
  <c r="B59" i="1"/>
  <c r="B55" i="1"/>
  <c r="B54" i="1"/>
  <c r="B50" i="1"/>
  <c r="B42" i="1"/>
  <c r="B38" i="1"/>
  <c r="B35" i="1"/>
  <c r="B34" i="1"/>
  <c r="B229" i="1" l="1"/>
  <c r="B233" i="1"/>
  <c r="B25" i="1"/>
  <c r="B227" i="1"/>
  <c r="B223" i="1"/>
  <c r="B220" i="1"/>
  <c r="B218" i="1"/>
  <c r="B215" i="1"/>
  <c r="B200" i="1"/>
  <c r="B190" i="1"/>
  <c r="B199" i="1"/>
  <c r="B21" i="3" l="1"/>
  <c r="B214" i="1"/>
  <c r="B211" i="1"/>
  <c r="B207" i="1"/>
  <c r="B201" i="1"/>
  <c r="B198" i="1" l="1"/>
  <c r="B174" i="1"/>
  <c r="B179" i="1"/>
  <c r="B20" i="1"/>
  <c r="B19" i="1"/>
  <c r="B210" i="1"/>
  <c r="B206" i="1"/>
  <c r="B20" i="3"/>
  <c r="B202" i="1"/>
  <c r="B192" i="1"/>
  <c r="B193" i="1"/>
  <c r="B194" i="1"/>
  <c r="B187" i="1"/>
  <c r="B189" i="1"/>
  <c r="B188" i="1"/>
  <c r="B184" i="1"/>
  <c r="B161" i="1"/>
  <c r="B157" i="1"/>
  <c r="B19" i="3"/>
  <c r="B183" i="1"/>
  <c r="B181" i="1"/>
  <c r="B177" i="1"/>
  <c r="B170" i="1"/>
  <c r="B172" i="1"/>
  <c r="B171" i="1"/>
  <c r="B167" i="1"/>
  <c r="B166" i="1"/>
  <c r="B162" i="1"/>
  <c r="B156" i="1"/>
  <c r="B153" i="1" l="1"/>
  <c r="B45" i="1"/>
  <c r="B124" i="1" l="1"/>
  <c r="D27" i="4" l="1"/>
  <c r="C27" i="3"/>
  <c r="C22" i="2"/>
  <c r="C249" i="1"/>
  <c r="C308" i="1"/>
  <c r="C29" i="1"/>
  <c r="B6" i="13" l="1"/>
  <c r="E59" i="13"/>
  <c r="C59" i="13"/>
  <c r="C29" i="4"/>
  <c r="C28" i="4"/>
  <c r="B59" i="13" l="1"/>
  <c r="B58" i="13"/>
  <c r="D58" i="13"/>
  <c r="B57" i="13"/>
  <c r="D57" i="13"/>
  <c r="B56" i="13"/>
  <c r="D55" i="13"/>
  <c r="B55" i="13"/>
  <c r="D54" i="13"/>
  <c r="B54" i="13"/>
  <c r="B2" i="4"/>
  <c r="B3" i="4"/>
  <c r="B2" i="3"/>
  <c r="B3" i="3"/>
  <c r="B2" i="2"/>
  <c r="B3" i="2"/>
  <c r="B2" i="1"/>
  <c r="B3" i="1"/>
  <c r="F57" i="13" l="1"/>
  <c r="D22" i="2" s="1"/>
  <c r="F59" i="13"/>
  <c r="E27" i="4" s="1"/>
  <c r="F58" i="13"/>
  <c r="D27" i="3" s="1"/>
  <c r="F55" i="13"/>
  <c r="D249" i="1" s="1"/>
  <c r="F54" i="13"/>
  <c r="D29" i="1" s="1"/>
  <c r="C13" i="13"/>
  <c r="C12" i="13"/>
  <c r="C11" i="13"/>
  <c r="C16" i="13" l="1"/>
  <c r="C17" i="13"/>
  <c r="B5" i="4" l="1"/>
  <c r="B4" i="4"/>
  <c r="B5" i="3"/>
  <c r="B4" i="3"/>
  <c r="B5" i="2"/>
  <c r="B4" i="2"/>
  <c r="B5" i="1"/>
  <c r="B4" i="1"/>
  <c r="C15" i="13" l="1"/>
  <c r="F12" i="13" l="1"/>
  <c r="C27" i="4"/>
  <c r="F11" i="13" s="1"/>
  <c r="F13" i="13" l="1"/>
  <c r="B308" i="1"/>
  <c r="D56" i="13" s="1"/>
  <c r="F56" i="13" s="1"/>
  <c r="D308" i="1" s="1"/>
  <c r="B249" i="1"/>
  <c r="B29" i="1"/>
  <c r="B15" i="13" l="1"/>
  <c r="B17" i="13"/>
  <c r="B16" i="13"/>
  <c r="B27" i="3"/>
  <c r="B22" i="2"/>
  <c r="B12" i="13" l="1"/>
  <c r="B13" i="13"/>
  <c r="B11" i="13"/>
  <c r="B3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1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 ref="A32" authorId="0" shapeId="0" xr:uid="{00000000-0006-0000-0300-000002000000}">
      <text>
        <r>
          <rPr>
            <sz val="9"/>
            <color indexed="81"/>
            <rFont val="Tahoma"/>
            <family val="2"/>
          </rPr>
          <t xml:space="preserve">
Insert additional rows as needed:
- 'right click' on a row number (left of screen)
- select 'Insert' (this will insert a row above it)
</t>
        </r>
      </text>
    </comment>
    <comment ref="A252" authorId="0" shapeId="0" xr:uid="{00000000-0006-0000-03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6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<sst xmlns="http://schemas.openxmlformats.org/spreadsheetml/2006/main" count="947" uniqueCount="376">
  <si>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</si>
  <si>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</si>
  <si>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</si>
  <si>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</si>
  <si>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</si>
  <si>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</si>
  <si>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</si>
  <si>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</si>
  <si>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</si>
  <si>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</si>
  <si>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</si>
  <si>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</si>
  <si>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</si>
  <si>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</si>
  <si>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</si>
  <si>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</si>
  <si>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</si>
  <si>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</si>
  <si>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</si>
  <si>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</si>
  <si>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</si>
  <si>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</si>
  <si>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</si>
  <si>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</si>
  <si>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</si>
  <si>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</si>
  <si>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</si>
  <si>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</si>
  <si>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</si>
  <si>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</si>
  <si>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</si>
  <si>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</si>
  <si>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</si>
  <si>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</si>
  <si>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</si>
  <si>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</si>
  <si>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</si>
  <si>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</si>
  <si>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</si>
  <si>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</si>
  <si>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</si>
  <si>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</si>
  <si>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</si>
  <si>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</si>
  <si>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</si>
  <si>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</si>
  <si>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</si>
  <si>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</si>
  <si>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</si>
  <si>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</si>
  <si>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</si>
  <si>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</si>
  <si>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</si>
  <si>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</si>
  <si>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</si>
  <si>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</si>
  <si>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</si>
  <si>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</si>
  <si>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</si>
  <si>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</si>
  <si>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</si>
  <si>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</si>
  <si>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</si>
  <si>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</si>
  <si>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</si>
  <si>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</si>
  <si>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</si>
  <si>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</si>
  <si>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</si>
  <si>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</si>
  <si>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</si>
  <si>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</si>
  <si>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</si>
  <si>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</si>
  <si>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</si>
  <si>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</si>
  <si>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</si>
  <si>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</si>
  <si>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</si>
  <si>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</si>
  <si>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</si>
  <si>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</si>
  <si>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</si>
  <si>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</si>
  <si>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</si>
  <si>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</si>
  <si>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</si>
  <si>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</si>
  <si>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</si>
  <si>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</si>
  <si>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</si>
  <si>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</si>
  <si>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</si>
  <si>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</si>
  <si>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</si>
  <si>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</si>
  <si>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</si>
  <si>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</si>
  <si>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</si>
  <si>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</si>
  <si>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</si>
  <si>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</si>
  <si>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</si>
  <si>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</si>
  <si>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</si>
  <si>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</si>
  <si>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</si>
  <si>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</si>
  <si>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</si>
  <si>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</si>
  <si>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</si>
  <si>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</si>
  <si>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</si>
  <si>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</si>
  <si>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</si>
  <si>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</si>
  <si>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</si>
  <si>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</si>
  <si>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</si>
  <si>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</si>
  <si>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</si>
  <si>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</si>
  <si>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</si>
  <si>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</si>
  <si>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</si>
  <si>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</si>
  <si>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</si>
  <si>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</si>
  <si>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</si>
  <si>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</si>
  <si>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</si>
  <si>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</si>
  <si>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</si>
  <si>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</si>
  <si>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</si>
  <si>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</si>
  <si>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</si>
  <si>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</si>
  <si>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</si>
  <si>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</si>
  <si>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</si>
  <si>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</si>
  <si>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</si>
  <si>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</si>
  <si>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</si>
  <si>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</si>
  <si>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</si>
  <si>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</si>
  <si>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</si>
  <si>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</si>
  <si>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</si>
  <si>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</si>
  <si>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</si>
  <si>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</si>
  <si>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</si>
  <si>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</si>
  <si>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</si>
  <si>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</si>
  <si>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</si>
  <si>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</si>
  <si>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</si>
  <si>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</si>
  <si>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</si>
  <si>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</si>
  <si>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</si>
  <si>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</si>
  <si>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</si>
  <si>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</si>
  <si>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Balance of advance returned</t>
  </si>
  <si>
    <t>16/17 July 2018</t>
  </si>
  <si>
    <t>Attending CASRO meeting and first day National Sports Convention, Melbourne</t>
  </si>
  <si>
    <t>airfare &amp; service fee</t>
  </si>
  <si>
    <t>accommodation</t>
  </si>
  <si>
    <t>taxis (x2)</t>
  </si>
  <si>
    <t>meals</t>
  </si>
  <si>
    <t>Roaming costs</t>
  </si>
  <si>
    <t>Melbourne</t>
  </si>
  <si>
    <t>Meeting with NZOC &amp; HPSNZ</t>
  </si>
  <si>
    <t>airfare</t>
  </si>
  <si>
    <t>taxis (x4)</t>
  </si>
  <si>
    <t>Taxis (x2) &amp; parking</t>
  </si>
  <si>
    <t>rental car</t>
  </si>
  <si>
    <t>Meeting with National Party Spokesperson Sport &amp; Rec &amp; HPSNZ in Akld</t>
  </si>
  <si>
    <t>Speaking at Strategy sector consultation session in Tauranga</t>
  </si>
  <si>
    <t>HPSNZ Board meeting, Akld</t>
  </si>
  <si>
    <t>rental car (4 pax)</t>
  </si>
  <si>
    <t>Attending two NSO board meetings in Akld</t>
  </si>
  <si>
    <t>taxis (x6)</t>
  </si>
  <si>
    <t>19-22 Aug 2018</t>
  </si>
  <si>
    <t>Airfare</t>
  </si>
  <si>
    <t>breakfast x2</t>
  </si>
  <si>
    <t>taxis (x8)</t>
  </si>
  <si>
    <t>meal (3 pax)</t>
  </si>
  <si>
    <t>Meetings in Akld with NZOC and HPSNZ</t>
  </si>
  <si>
    <t>meal</t>
  </si>
  <si>
    <t>24-25 Aug</t>
  </si>
  <si>
    <t>Guest at Beldisloe Cup Test in Akld</t>
  </si>
  <si>
    <t>taxis (x1)</t>
  </si>
  <si>
    <t>Parking at airport</t>
  </si>
  <si>
    <t>NSO meeting in Auckland</t>
  </si>
  <si>
    <t>Meeting in Akld with HPSNZ board members and CEO</t>
  </si>
  <si>
    <t>Parking, airport</t>
  </si>
  <si>
    <t>17-19 Sept</t>
  </si>
  <si>
    <t>Sport BoP &amp; Waikato roadshow visits; speaking at NZSSSC conference, Rotorua</t>
  </si>
  <si>
    <t>airfares</t>
  </si>
  <si>
    <t xml:space="preserve">hotel meal, water </t>
  </si>
  <si>
    <t>Accommodation Hamilton</t>
  </si>
  <si>
    <t>25-26 Sept</t>
  </si>
  <si>
    <t xml:space="preserve">Attend Aktive Board meeting and Auckland RSTs roadshow visits; </t>
  </si>
  <si>
    <t>Attend media training session in Auckland</t>
  </si>
  <si>
    <t>1-3 Oct</t>
  </si>
  <si>
    <t>Sector consultation session, HPSNZ board meeting, NZOC meeting, mtgs with staff</t>
  </si>
  <si>
    <t>accommodation (2 nights)</t>
  </si>
  <si>
    <t>parking, airport</t>
  </si>
  <si>
    <t xml:space="preserve">NSO meeting in Auckland </t>
  </si>
  <si>
    <t>Rental car</t>
  </si>
  <si>
    <t>Attend Women &amp; Girls in Sport launch in Auckland</t>
  </si>
  <si>
    <t>18-19 Oct</t>
  </si>
  <si>
    <t>Speaking at NZRA conference; mtg with Minister; Sport Gisborne &amp; Hawkes Bay roadshow</t>
  </si>
  <si>
    <t>NPE-WLG</t>
  </si>
  <si>
    <t>accommodation Napier</t>
  </si>
  <si>
    <t>Attending opening of ESNZ new indoor HP training centre, Taupo</t>
  </si>
  <si>
    <t>Attending Akld Sector Forum and NSOs meeting</t>
  </si>
  <si>
    <t>parking</t>
  </si>
  <si>
    <t>Hosting tables at NZOC Gala dinner, Auckland</t>
  </si>
  <si>
    <t>Speaking at NZ Sports Journalism Awards</t>
  </si>
  <si>
    <t>HPSNZ Board strategy session</t>
  </si>
  <si>
    <t>Attend Rowing NZ board meeting, Lake Karapiro</t>
  </si>
  <si>
    <t>Meetings with Lotto NZ, Tennis NZ</t>
  </si>
  <si>
    <t>Meetings with Aktive, NZOC &amp; HPSNZ</t>
  </si>
  <si>
    <t>Attend Swimming NZ board meeting and Drug Free Sport NZ board</t>
  </si>
  <si>
    <t>15/16-02-2019</t>
  </si>
  <si>
    <t>Meetings with CCC, Sport Canterbury</t>
  </si>
  <si>
    <t>18/19 Feb 2019</t>
  </si>
  <si>
    <t>Mauri trip to Greymouth to get Sport NZ pounamu</t>
  </si>
  <si>
    <t>21/22 Feb 2019</t>
  </si>
  <si>
    <t>Sport NZ board meeting in Akld + hosting at Halberg Awards</t>
  </si>
  <si>
    <t>Attending monthly Cultural Agency meeting</t>
  </si>
  <si>
    <t>taxi</t>
  </si>
  <si>
    <t>Attending  Cultural Agency meeting</t>
  </si>
  <si>
    <t>Travel home after board meeting and dinner</t>
  </si>
  <si>
    <t>Taxi Wgtn CBD attending NSO board meeting</t>
  </si>
  <si>
    <t xml:space="preserve">Taxi to Te Papa for offsite Board workshop </t>
  </si>
  <si>
    <t>Taxi home after board dinner</t>
  </si>
  <si>
    <t>Taxi home after dinner meeting</t>
  </si>
  <si>
    <t>Taxi home after board meeting and dinner</t>
  </si>
  <si>
    <t>Taxi to Parliament</t>
  </si>
  <si>
    <t>Taxi to Sport Wgtn - presentation to staff on Sport NZ strategy</t>
  </si>
  <si>
    <t>Taxi Sport Wgtn to Sport NZ</t>
  </si>
  <si>
    <t>Taxi Wgtn CBD to home following board meeting and dinner</t>
  </si>
  <si>
    <t>Taxi Wgtn CBD for staff meeting</t>
  </si>
  <si>
    <t>Wellington</t>
  </si>
  <si>
    <t>Stakeholder meeting</t>
  </si>
  <si>
    <t>Meal 2pax</t>
  </si>
  <si>
    <t>buliding relationship</t>
  </si>
  <si>
    <t>Coffee meeting with stakeholder</t>
  </si>
  <si>
    <t>Coffee (3 pax)</t>
  </si>
  <si>
    <t>building relationship</t>
  </si>
  <si>
    <t>lunch meting with stakeholder</t>
  </si>
  <si>
    <t>Finals of Women's and Men's ASB Tennis</t>
  </si>
  <si>
    <t>Vodafone</t>
  </si>
  <si>
    <t>Roaming 3-14Nov18 $60</t>
  </si>
  <si>
    <t>Sport NZ</t>
  </si>
  <si>
    <t>Peter Miskimmin</t>
  </si>
  <si>
    <t>NZ Rugby</t>
  </si>
  <si>
    <t>NZ Rugby 7s Tournament - entry and hosting</t>
  </si>
  <si>
    <t>NZ Golf Open - entry and hosting</t>
  </si>
  <si>
    <t>Cricket T20 (NZ v India, 6 Feb 2019)</t>
  </si>
  <si>
    <t>NZ Cricket Awards, Auckland</t>
  </si>
  <si>
    <t>NZ Cricket</t>
  </si>
  <si>
    <t>Tennis Auckland</t>
  </si>
  <si>
    <t>Wellington Cricket</t>
  </si>
  <si>
    <t>Phoenix</t>
  </si>
  <si>
    <t>Tall Blacks v Syria Basketball</t>
  </si>
  <si>
    <t>NZ Basketball</t>
  </si>
  <si>
    <t xml:space="preserve">Cricket test - Sri Lanka </t>
  </si>
  <si>
    <t xml:space="preserve">Ticket to NZ Rugby Awards </t>
  </si>
  <si>
    <t xml:space="preserve">Phoenix v Melbourne at Eden Park </t>
  </si>
  <si>
    <t>NZ v India ODI, Wellington</t>
  </si>
  <si>
    <t>All Blacks v Austalia test, Eden Park - ticket and hosting</t>
  </si>
  <si>
    <t>All Blacks v South Africa - ticket and hosting</t>
  </si>
  <si>
    <t>NZ Golf Tournaments</t>
  </si>
  <si>
    <t>Speaking at NZRA conference; mtg with Minister; Sport Gisborne &amp; Hawkes Bay roadshow (Wgtn/Akld/Gisb)</t>
  </si>
  <si>
    <t>Accommodation Gisborne</t>
  </si>
  <si>
    <t>accommodation Taupo (1 night)</t>
  </si>
  <si>
    <t>Accommodation</t>
  </si>
  <si>
    <t>Guest speaker at Hockey Pro League, Auckland</t>
  </si>
  <si>
    <t>Attending CASRO meeting and first day National Sports Convention</t>
  </si>
  <si>
    <t>Auckland</t>
  </si>
  <si>
    <t>auckland</t>
  </si>
  <si>
    <t>Tauranga</t>
  </si>
  <si>
    <t>Auckalnd</t>
  </si>
  <si>
    <t xml:space="preserve">auckland </t>
  </si>
  <si>
    <t>Waikato/BoP</t>
  </si>
  <si>
    <t xml:space="preserve">Auckland </t>
  </si>
  <si>
    <t>Welington</t>
  </si>
  <si>
    <t>Gisborne</t>
  </si>
  <si>
    <t>Napier</t>
  </si>
  <si>
    <t>Taupo</t>
  </si>
  <si>
    <t xml:space="preserve">Cambridge </t>
  </si>
  <si>
    <t>Christchurch</t>
  </si>
  <si>
    <t>Greymouth</t>
  </si>
  <si>
    <t>HPSNZ board meeting and workshop</t>
  </si>
  <si>
    <t>rental car (large, 4 pax)</t>
  </si>
  <si>
    <t>HPSNZ board meeting and workshop; Chairs dinner</t>
  </si>
  <si>
    <t>Attending HP Performance Summit</t>
  </si>
  <si>
    <t>20-22 March 2019</t>
  </si>
  <si>
    <t>SLT meetings; NZ Cricket Awards; meetings with Akld based staff</t>
  </si>
  <si>
    <t>Judging for sector awards</t>
  </si>
  <si>
    <t>Attending MSRM as Minister's representative, Adelaide</t>
  </si>
  <si>
    <t>Adelaide</t>
  </si>
  <si>
    <t>Adelaide &amp; Sydney</t>
  </si>
  <si>
    <t>4-6 April 2019</t>
  </si>
  <si>
    <t>21/22/Feb 2019</t>
  </si>
  <si>
    <t xml:space="preserve">parking </t>
  </si>
  <si>
    <t>rental car (GM returned the car)</t>
  </si>
  <si>
    <t>breakfast meeting (2 pax)</t>
  </si>
  <si>
    <t>Attending Paralympics board meeting, Auckland + mtg with HPSNZ</t>
  </si>
  <si>
    <t>parking at HPSNZ</t>
  </si>
  <si>
    <t>Parking</t>
  </si>
  <si>
    <t>Attending NSO board meetings (x2), Auckland + BlackGold meeting</t>
  </si>
  <si>
    <t>Hosting table at IWG Captain's launch; meeting with Sky TV</t>
  </si>
  <si>
    <t>Meeting with key stakeholder, Whakatane (Wgtn/Tauranga return)</t>
  </si>
  <si>
    <t>Whakatane</t>
  </si>
  <si>
    <t>Parking for offsite meeting in Wgtn CBD</t>
  </si>
  <si>
    <t>Uber taxi home following hosting of Blackgold function</t>
  </si>
  <si>
    <t xml:space="preserve">Uber taxi home following Board dinner </t>
  </si>
  <si>
    <t>Attending RST CEO Forum, Auckland; mtg with HPSNZ</t>
  </si>
  <si>
    <t>Attend HPSNZ board meeting and NZOC Governance meeting + dinner</t>
  </si>
  <si>
    <t>CASRO meeting, Melbourne</t>
  </si>
  <si>
    <t>Roaming April19</t>
  </si>
  <si>
    <t>Uber taxi home, hosting table at Wellington Homeless Women's Trust gala dinner</t>
  </si>
  <si>
    <t>Taxi to Monthly Cultural Agency CE meeting</t>
  </si>
  <si>
    <t>Breakfast meeting with stakeholder</t>
  </si>
  <si>
    <t>Hosting table at Kea World Class NZ Awards; mtg with stakeholder</t>
  </si>
  <si>
    <t>Wgtn/Akld</t>
  </si>
  <si>
    <t>Wgtn/Akld/New Plymouth</t>
  </si>
  <si>
    <t>RST Chairs dinner, sector conference &amp; awards; speaking at Women in Leadership conf/Sport Taranaki CEO farewell</t>
  </si>
  <si>
    <t>Auckland &amp; New Plymouth</t>
  </si>
  <si>
    <t xml:space="preserve">Opening Sports House, Whanganui &amp; meeting with Sport Whanganui staff &amp; baoard </t>
  </si>
  <si>
    <t>Mileage</t>
  </si>
  <si>
    <t>Wgtn/Whanganui return</t>
  </si>
  <si>
    <t>RST Chairs dinner, sector conference &amp; awards; speaking at Women in Leadership conf/sector CEO farewell</t>
  </si>
  <si>
    <t>RST Chairs dinner, sector conference &amp; awards; speaking at Women in Leadership conf/Sector CEO farewell</t>
  </si>
  <si>
    <t>Meal</t>
  </si>
  <si>
    <t>Meal 8 pax</t>
  </si>
  <si>
    <t>Meal 2 pax</t>
  </si>
  <si>
    <t>Coffee (2 pax)</t>
  </si>
  <si>
    <t>taxis (x3)</t>
  </si>
  <si>
    <t>taxis (x5)</t>
  </si>
  <si>
    <t>Attending Waka Ama national champs, Lake Karapiro</t>
  </si>
  <si>
    <t>taxis &amp; parking (3)</t>
  </si>
  <si>
    <t>taxis (4)</t>
  </si>
  <si>
    <t>parking (X3 lots)</t>
  </si>
  <si>
    <t>aiport parking</t>
  </si>
  <si>
    <t>Roaming May19</t>
  </si>
  <si>
    <t>24-26 Oct</t>
  </si>
  <si>
    <t>Parking - meeting with RST</t>
  </si>
  <si>
    <t xml:space="preserve">Melbourne </t>
  </si>
  <si>
    <t>Panel member for NZOC Women in Sport presentations in Akld</t>
  </si>
  <si>
    <t>airport parking</t>
  </si>
  <si>
    <t>Akld/Gisborne/Napier</t>
  </si>
  <si>
    <t>Wgtnn airport to CBD</t>
  </si>
  <si>
    <t>Guest speaker at NSO VIP function</t>
  </si>
  <si>
    <t xml:space="preserve">Attend partner meetings in Auckland </t>
  </si>
  <si>
    <t xml:space="preserve">Attend  partner meetings in Auckland </t>
  </si>
  <si>
    <t>Attend partner meetings in Auckland</t>
  </si>
  <si>
    <t>Attend  partner meetings in Auckland</t>
  </si>
  <si>
    <t xml:space="preserve">rental car  </t>
  </si>
  <si>
    <t xml:space="preserve">airfare </t>
  </si>
  <si>
    <t>taxis to airport and parking</t>
  </si>
  <si>
    <t>parking at Wgtn airport</t>
  </si>
  <si>
    <t>Hosting dinner with key partners</t>
  </si>
  <si>
    <t>23-27 June</t>
  </si>
  <si>
    <t xml:space="preserve">Speaking at strategy sector consultation sessions x2, Akld, opening of Executive Leaders Forum, Akld </t>
  </si>
  <si>
    <t>GM Strategy, Policy &amp; Corporate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</si>
</sst>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quot;$&quot;#,##0.00"/>
    <numFmt numFmtId="167" formatCode="[$-1409]d\ mmmm\ yyyy;@"/>
    <numFmt numFmtId="168" formatCode="[$-409]d/mmm/yy;@"/>
    <numFmt numFmtId="169" formatCode="&quot;$&quot;#,##0.00;[Red]&quot;$&quot;#,##0.00"/>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167" fontId="15" fillId="10" borderId="3" xfId="0" applyNumberFormat="1" applyFont="1" applyFill="1" applyBorder="1" applyAlignment="1" applyProtection="1">
      <alignment horizontal="left" vertical="center" wrapText="1"/>
      <protection locked="0"/>
    </xf>
    <xf numFmtId="167" fontId="15" fillId="10" borderId="3" xfId="0" applyNumberFormat="1" applyFont="1" applyFill="1" applyBorder="1" applyAlignment="1" applyProtection="1">
      <alignment horizontal="left" vertical="center"/>
      <protection locked="0"/>
    </xf>
    <xf numFmtId="0" fontId="19" fillId="3" borderId="0" xfId="0" applyFont="1" applyFill="1" applyBorder="1" applyAlignment="1" applyProtection="1">
      <alignment horizontal="left" vertical="center" readingOrder="1"/>
    </xf>
    <xf numFmtId="168" fontId="15" fillId="10" borderId="3" xfId="0" applyNumberFormat="1" applyFont="1" applyFill="1" applyBorder="1" applyAlignment="1" applyProtection="1">
      <alignment horizontal="left" vertical="center"/>
      <protection locked="0"/>
    </xf>
    <xf numFmtId="168" fontId="15" fillId="0" borderId="3" xfId="0" applyNumberFormat="1" applyFont="1" applyFill="1" applyBorder="1" applyAlignment="1" applyProtection="1">
      <alignment horizontal="left" vertical="center"/>
      <protection locked="0"/>
    </xf>
    <xf numFmtId="2" fontId="15" fillId="10" borderId="4" xfId="0" applyNumberFormat="1" applyFont="1" applyFill="1" applyBorder="1" applyAlignment="1" applyProtection="1">
      <alignment vertical="center" wrapText="1"/>
      <protection locked="0"/>
    </xf>
    <xf numFmtId="2"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protection locked="0"/>
    </xf>
    <xf numFmtId="0" fontId="0" fillId="0" borderId="0" xfId="0" applyFill="1" applyAlignment="1" applyProtection="1">
      <alignment wrapText="1"/>
      <protection locked="0"/>
    </xf>
    <xf numFmtId="0" fontId="0" fillId="0" borderId="0" xfId="0" applyFill="1" applyProtection="1">
      <protection locked="0"/>
    </xf>
    <xf numFmtId="14" fontId="15" fillId="0" borderId="3" xfId="0" applyNumberFormat="1" applyFont="1" applyFill="1" applyBorder="1" applyAlignment="1" applyProtection="1">
      <alignment horizontal="left" vertical="center"/>
      <protection locked="0"/>
    </xf>
    <xf numFmtId="164"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horizontal="left" vertical="center"/>
      <protection locked="0"/>
    </xf>
    <xf numFmtId="0" fontId="0" fillId="0" borderId="4"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0" fillId="0" borderId="0" xfId="0" applyFont="1" applyFill="1" applyBorder="1" applyProtection="1">
      <protection locked="0"/>
    </xf>
    <xf numFmtId="167" fontId="15" fillId="0" borderId="3" xfId="0" applyNumberFormat="1" applyFont="1" applyFill="1" applyBorder="1" applyAlignment="1" applyProtection="1">
      <alignment horizontal="left" vertical="center" wrapText="1"/>
      <protection locked="0"/>
    </xf>
    <xf numFmtId="0" fontId="0" fillId="0" borderId="0" xfId="0" applyFont="1" applyFill="1" applyProtection="1">
      <protection locked="0"/>
    </xf>
    <xf numFmtId="0" fontId="0" fillId="0" borderId="4" xfId="0" applyFont="1" applyFill="1" applyBorder="1" applyAlignment="1" applyProtection="1">
      <alignment horizontal="left" vertical="center" wrapText="1"/>
      <protection locked="0"/>
    </xf>
    <xf numFmtId="0" fontId="15" fillId="0" borderId="4" xfId="0" applyNumberFormat="1" applyFont="1" applyFill="1" applyBorder="1" applyAlignment="1" applyProtection="1">
      <alignment horizontal="left" vertical="center" wrapText="1"/>
      <protection locked="0"/>
    </xf>
    <xf numFmtId="164" fontId="15" fillId="0" borderId="4" xfId="0" applyNumberFormat="1" applyFont="1" applyFill="1" applyBorder="1" applyAlignment="1" applyProtection="1">
      <alignment horizontal="right" vertical="center" wrapText="1"/>
      <protection locked="0"/>
    </xf>
    <xf numFmtId="0" fontId="0" fillId="0" borderId="5" xfId="0" applyFont="1" applyFill="1" applyBorder="1" applyAlignment="1" applyProtection="1">
      <alignment horizontal="left" vertical="center" wrapText="1"/>
      <protection locked="0"/>
    </xf>
    <xf numFmtId="168" fontId="15" fillId="0" borderId="3" xfId="0" applyNumberFormat="1" applyFont="1" applyFill="1" applyBorder="1" applyAlignment="1" applyProtection="1">
      <alignment vertical="center"/>
      <protection locked="0"/>
    </xf>
    <xf numFmtId="167" fontId="15" fillId="10" borderId="3" xfId="0" applyNumberFormat="1" applyFont="1" applyFill="1" applyBorder="1" applyAlignment="1" applyProtection="1">
      <alignment horizontal="left" vertical="top"/>
      <protection locked="0"/>
    </xf>
    <xf numFmtId="0" fontId="0" fillId="10" borderId="0" xfId="0" applyFill="1" applyProtection="1">
      <protection locked="0"/>
    </xf>
    <xf numFmtId="169" fontId="15" fillId="0" borderId="4" xfId="0" applyNumberFormat="1"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61"/>
  <sheetViews>
    <sheetView tabSelected="1" zoomScale="85" zoomScaleNormal="85" workbookViewId="0">
      <selection activeCell="A10" sqref="A10"/>
    </sheetView>
  </sheetViews>
  <sheetFormatPr defaultColWidth="0" defaultRowHeight="13.5" zeroHeight="1" x14ac:dyDescent="0.35"/>
  <cols>
    <col min="1" max="1" width="219.265625" style="72" customWidth="1"/>
    <col min="2" max="2" width="33.265625" style="71" customWidth="1"/>
    <col min="3" max="16384" width="8.73046875" style="17" hidden="1"/>
  </cols>
  <sheetData>
    <row r="1" spans="1:2" ht="23.25" customHeight="1" x14ac:dyDescent="0.35">
      <c r="A1" s="70" t="s">
        <v>86</v>
      </c>
    </row>
    <row r="2" spans="1:2" ht="33" customHeight="1" x14ac:dyDescent="0.35">
      <c r="A2" s="153" t="s">
        <v>119</v>
      </c>
    </row>
    <row r="3" spans="1:2" ht="17.25" customHeight="1" x14ac:dyDescent="0.35"/>
    <row r="4" spans="1:2" ht="23.25" customHeight="1" x14ac:dyDescent="0.35">
      <c r="A4" s="115" t="s">
        <v>124</v>
      </c>
    </row>
    <row r="5" spans="1:2" ht="17.25" customHeight="1" x14ac:dyDescent="0.35"/>
    <row r="6" spans="1:2" ht="23.25" customHeight="1" x14ac:dyDescent="0.35">
      <c r="A6" s="73" t="s">
        <v>14</v>
      </c>
    </row>
    <row r="7" spans="1:2" ht="17.25" customHeight="1" x14ac:dyDescent="0.35">
      <c r="A7" s="74" t="s">
        <v>16</v>
      </c>
    </row>
    <row r="8" spans="1:2" ht="17.25" customHeight="1" x14ac:dyDescent="0.35">
      <c r="A8" s="75" t="s">
        <v>90</v>
      </c>
    </row>
    <row r="9" spans="1:2" ht="17.25" customHeight="1" x14ac:dyDescent="0.35">
      <c r="A9" s="75"/>
    </row>
    <row r="10" spans="1:2" ht="23.25" customHeight="1" x14ac:dyDescent="0.35">
      <c r="A10" s="73" t="s">
        <v>17</v>
      </c>
      <c r="B10" s="119" t="s">
        <v>128</v>
      </c>
    </row>
    <row r="11" spans="1:2" ht="17.25" customHeight="1" x14ac:dyDescent="0.35">
      <c r="A11" s="76" t="s">
        <v>27</v>
      </c>
    </row>
    <row r="12" spans="1:2" ht="17.25" customHeight="1" x14ac:dyDescent="0.35">
      <c r="A12" s="75" t="s">
        <v>18</v>
      </c>
    </row>
    <row r="13" spans="1:2" ht="17.25" customHeight="1" x14ac:dyDescent="0.35">
      <c r="A13" s="75" t="s">
        <v>19</v>
      </c>
    </row>
    <row r="14" spans="1:2" ht="17.25" customHeight="1" x14ac:dyDescent="0.35">
      <c r="A14" s="77" t="s">
        <v>20</v>
      </c>
    </row>
    <row r="15" spans="1:2" ht="17.25" customHeight="1" x14ac:dyDescent="0.35">
      <c r="A15" s="75" t="s">
        <v>21</v>
      </c>
    </row>
    <row r="16" spans="1:2" ht="17.25" customHeight="1" x14ac:dyDescent="0.35">
      <c r="A16" s="75"/>
    </row>
    <row r="17" spans="1:1" ht="23.25" customHeight="1" x14ac:dyDescent="0.35">
      <c r="A17" s="73" t="s">
        <v>22</v>
      </c>
    </row>
    <row r="18" spans="1:1" ht="17.25" customHeight="1" x14ac:dyDescent="0.35">
      <c r="A18" s="77" t="s">
        <v>10</v>
      </c>
    </row>
    <row r="19" spans="1:1" ht="17.25" customHeight="1" x14ac:dyDescent="0.35">
      <c r="A19" s="77" t="s">
        <v>26</v>
      </c>
    </row>
    <row r="20" spans="1:1" ht="17.25" customHeight="1" x14ac:dyDescent="0.35">
      <c r="A20" s="106" t="s">
        <v>118</v>
      </c>
    </row>
    <row r="21" spans="1:1" ht="17.25" customHeight="1" x14ac:dyDescent="0.35">
      <c r="A21" s="78"/>
    </row>
    <row r="22" spans="1:1" ht="23.25" customHeight="1" x14ac:dyDescent="0.35">
      <c r="A22" s="73" t="s">
        <v>11</v>
      </c>
    </row>
    <row r="23" spans="1:1" ht="17.25" customHeight="1" x14ac:dyDescent="0.35">
      <c r="A23" s="78" t="s">
        <v>85</v>
      </c>
    </row>
    <row r="24" spans="1:1" ht="17.25" customHeight="1" x14ac:dyDescent="0.35">
      <c r="A24" s="78"/>
    </row>
    <row r="25" spans="1:1" ht="23.25" customHeight="1" x14ac:dyDescent="0.35">
      <c r="A25" s="73" t="s">
        <v>54</v>
      </c>
    </row>
    <row r="26" spans="1:1" ht="17.25" customHeight="1" x14ac:dyDescent="0.35">
      <c r="A26" s="79" t="s">
        <v>60</v>
      </c>
    </row>
    <row r="27" spans="1:1" ht="32.25" customHeight="1" x14ac:dyDescent="0.35">
      <c r="A27" s="77" t="s">
        <v>112</v>
      </c>
    </row>
    <row r="28" spans="1:1" ht="17.25" customHeight="1" x14ac:dyDescent="0.35">
      <c r="A28" s="79" t="s">
        <v>55</v>
      </c>
    </row>
    <row r="29" spans="1:1" ht="32.25" customHeight="1" x14ac:dyDescent="0.35">
      <c r="A29" s="77" t="s">
        <v>150</v>
      </c>
    </row>
    <row r="30" spans="1:1" ht="17.25" customHeight="1" x14ac:dyDescent="0.35">
      <c r="A30" s="79" t="s">
        <v>12</v>
      </c>
    </row>
    <row r="31" spans="1:1" ht="17.25" customHeight="1" x14ac:dyDescent="0.35">
      <c r="A31" s="77" t="s">
        <v>56</v>
      </c>
    </row>
    <row r="32" spans="1:1" ht="17.25" customHeight="1" x14ac:dyDescent="0.35">
      <c r="A32" s="79" t="s">
        <v>57</v>
      </c>
    </row>
    <row r="33" spans="1:1" ht="32.25" customHeight="1" x14ac:dyDescent="0.35">
      <c r="A33" s="80" t="s">
        <v>58</v>
      </c>
    </row>
    <row r="34" spans="1:1" ht="32.25" customHeight="1" x14ac:dyDescent="0.35">
      <c r="A34" s="81" t="s">
        <v>23</v>
      </c>
    </row>
    <row r="35" spans="1:1" ht="17.25" customHeight="1" x14ac:dyDescent="0.35">
      <c r="A35" s="79" t="s">
        <v>47</v>
      </c>
    </row>
    <row r="36" spans="1:1" ht="32.25" customHeight="1" x14ac:dyDescent="0.35">
      <c r="A36" s="77" t="s">
        <v>130</v>
      </c>
    </row>
    <row r="37" spans="1:1" ht="32.25" customHeight="1" x14ac:dyDescent="0.35">
      <c r="A37" s="80" t="s">
        <v>25</v>
      </c>
    </row>
    <row r="38" spans="1:1" ht="32.25" customHeight="1" x14ac:dyDescent="0.35">
      <c r="A38" s="77" t="s">
        <v>61</v>
      </c>
    </row>
    <row r="39" spans="1:1" ht="17.25" customHeight="1" x14ac:dyDescent="0.35">
      <c r="A39" s="81"/>
    </row>
    <row r="40" spans="1:1" ht="22.5" customHeight="1" x14ac:dyDescent="0.35">
      <c r="A40" s="73" t="s">
        <v>5</v>
      </c>
    </row>
    <row r="41" spans="1:1" ht="17.25" customHeight="1" x14ac:dyDescent="0.35">
      <c r="A41" s="86" t="s">
        <v>120</v>
      </c>
    </row>
    <row r="42" spans="1:1" ht="17.25" customHeight="1" x14ac:dyDescent="0.35">
      <c r="A42" s="82" t="s">
        <v>68</v>
      </c>
    </row>
    <row r="43" spans="1:1" ht="17.25" customHeight="1" x14ac:dyDescent="0.35">
      <c r="A43" s="83" t="s">
        <v>131</v>
      </c>
    </row>
    <row r="44" spans="1:1" ht="32.25" customHeight="1" x14ac:dyDescent="0.35">
      <c r="A44" s="83" t="s">
        <v>103</v>
      </c>
    </row>
    <row r="45" spans="1:1" ht="32.25" customHeight="1" x14ac:dyDescent="0.35">
      <c r="A45" s="83" t="s">
        <v>69</v>
      </c>
    </row>
    <row r="46" spans="1:1" ht="17.25" customHeight="1" x14ac:dyDescent="0.35">
      <c r="A46" s="84" t="s">
        <v>132</v>
      </c>
    </row>
    <row r="47" spans="1:1" ht="32.25" customHeight="1" x14ac:dyDescent="0.35">
      <c r="A47" s="80" t="s">
        <v>70</v>
      </c>
    </row>
    <row r="48" spans="1:1" ht="32.25" customHeight="1" x14ac:dyDescent="0.35">
      <c r="A48" s="80" t="s">
        <v>62</v>
      </c>
    </row>
    <row r="49" spans="1:1" ht="32.25" customHeight="1" x14ac:dyDescent="0.35">
      <c r="A49" s="83" t="s">
        <v>151</v>
      </c>
    </row>
    <row r="50" spans="1:1" ht="17.25" customHeight="1" x14ac:dyDescent="0.35">
      <c r="A50" s="83" t="s">
        <v>71</v>
      </c>
    </row>
    <row r="51" spans="1:1" ht="17.25" customHeight="1" x14ac:dyDescent="0.35">
      <c r="A51" s="83" t="s">
        <v>24</v>
      </c>
    </row>
    <row r="52" spans="1:1" ht="17.25" customHeight="1" x14ac:dyDescent="0.35">
      <c r="A52" s="83"/>
    </row>
    <row r="53" spans="1:1" ht="22.5" customHeight="1" x14ac:dyDescent="0.35">
      <c r="A53" s="73" t="s">
        <v>59</v>
      </c>
    </row>
    <row r="54" spans="1:1" ht="32.25" customHeight="1" x14ac:dyDescent="0.35">
      <c r="A54" s="153" t="s">
        <v>121</v>
      </c>
    </row>
    <row r="55" spans="1:1" ht="17.25" customHeight="1" x14ac:dyDescent="0.35">
      <c r="A55" s="85" t="s">
        <v>122</v>
      </c>
    </row>
    <row r="56" spans="1:1" ht="17.25" customHeight="1" x14ac:dyDescent="0.35">
      <c r="A56" s="86" t="s">
        <v>75</v>
      </c>
    </row>
    <row r="57" spans="1:1" ht="17.25" customHeight="1" x14ac:dyDescent="0.35">
      <c r="A57" s="106" t="s">
        <v>123</v>
      </c>
    </row>
    <row r="58" spans="1:1" ht="17.25" customHeight="1" x14ac:dyDescent="0.35">
      <c r="A58" s="87" t="s">
        <v>74</v>
      </c>
    </row>
    <row r="59" spans="1:1" x14ac:dyDescent="0.35"/>
    <row r="60" spans="1:1" hidden="1" x14ac:dyDescent="0.35"/>
    <row r="61" spans="1:1" hidden="1" x14ac:dyDescent="0.35">
      <c r="A61" s="88"/>
    </row>
  </sheetData>
  <sheetProtection sheet="1" objects="1" scenarios="1"/>
  <hyperlinks>
    <hyperlink ref="A20" r:id="rId1" xr:uid="{00000000-0004-0000-0100-000000000000}"/>
    <hyperlink ref="A41" r:id="rId2" xr:uid="{00000000-0004-0000-0100-000001000000}"/>
    <hyperlink ref="A55" r:id="rId3" xr:uid="{00000000-0004-0000-0100-000002000000}"/>
    <hyperlink ref="A56" r:id="rId4" display="mailto:info@data.govt.nz" xr:uid="{00000000-0004-0000-0100-000003000000}"/>
    <hyperlink ref="A58" r:id="rId5" display="http://www.ssc.govt.nz/ce-expenses-disclosure" xr:uid="{00000000-0004-0000-0100-000004000000}"/>
    <hyperlink ref="A2" r:id="rId6" display="http://www.ssc.govt.nz/sites/all/files/ce-expense-disclosures-guide-agency-staff-2017.docx" xr:uid="{00000000-0004-0000-0100-000005000000}"/>
    <hyperlink ref="A54" r:id="rId7" display="http://www.ssc.govt.nz/sites/all/files/ce-expense-disclosures-guide-agency-staff-2017.docx" xr:uid="{00000000-0004-0000-0100-000006000000}"/>
    <hyperlink ref="A57" r:id="rId8" display="They are posted on agency websites and linked to www.data.govt.nz. See: https://www.data.govt.nz/toolkit/how-do-i-add-or-update-our-chief-executive-expenses/" xr:uid="{00000000-0004-0000-01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K76"/>
  <sheetViews>
    <sheetView zoomScaleNormal="100" workbookViewId="0">
      <selection activeCell="G2" sqref="G2"/>
    </sheetView>
  </sheetViews>
  <sheetFormatPr defaultColWidth="0" defaultRowHeight="12.75" zeroHeight="1" x14ac:dyDescent="0.35"/>
  <cols>
    <col min="1" max="1" width="35.73046875" style="17" customWidth="1"/>
    <col min="2" max="2" width="21.59765625" style="17" customWidth="1"/>
    <col min="3" max="3" width="33.59765625" style="17" customWidth="1"/>
    <col min="4" max="4" width="4.3984375" style="17" customWidth="1"/>
    <col min="5" max="5" width="29" style="17" customWidth="1"/>
    <col min="6" max="6" width="19" style="17" customWidth="1"/>
    <col min="7" max="7" width="42" style="17" customWidth="1"/>
    <col min="8" max="11" width="9.1328125" style="17" hidden="1" customWidth="1"/>
    <col min="12" max="16384" width="9.1328125" style="17" hidden="1"/>
  </cols>
  <sheetData>
    <row r="1" spans="1:11" ht="26.25" customHeight="1" x14ac:dyDescent="0.35">
      <c r="A1" s="187" t="s">
        <v>98</v>
      </c>
      <c r="B1" s="187"/>
      <c r="C1" s="187"/>
      <c r="D1" s="187"/>
      <c r="E1" s="187"/>
      <c r="F1" s="187"/>
      <c r="G1" s="48"/>
      <c r="H1" s="48"/>
      <c r="I1" s="48"/>
      <c r="J1" s="48"/>
      <c r="K1" s="48"/>
    </row>
    <row r="2" spans="1:11" ht="21" customHeight="1" x14ac:dyDescent="0.35">
      <c r="A2" s="4" t="s">
        <v>2</v>
      </c>
      <c r="B2" s="188" t="s">
        <v>262</v>
      </c>
      <c r="C2" s="188"/>
      <c r="D2" s="188"/>
      <c r="E2" s="188"/>
      <c r="F2" s="188"/>
      <c r="G2" s="48"/>
      <c r="H2" s="48"/>
      <c r="I2" s="48"/>
      <c r="J2" s="48"/>
      <c r="K2" s="48"/>
    </row>
    <row r="3" spans="1:11" ht="21" customHeight="1" x14ac:dyDescent="0.35">
      <c r="A3" s="4" t="s">
        <v>99</v>
      </c>
      <c r="B3" s="188" t="s">
        <v>263</v>
      </c>
      <c r="C3" s="188"/>
      <c r="D3" s="188"/>
      <c r="E3" s="188"/>
      <c r="F3" s="188"/>
      <c r="G3" s="48"/>
      <c r="H3" s="48"/>
      <c r="I3" s="48"/>
      <c r="J3" s="48"/>
      <c r="K3" s="48"/>
    </row>
    <row r="4" spans="1:11" ht="21" customHeight="1" x14ac:dyDescent="0.35">
      <c r="A4" s="4" t="s">
        <v>79</v>
      </c>
      <c r="B4" s="189">
        <v>43282</v>
      </c>
      <c r="C4" s="189"/>
      <c r="D4" s="189"/>
      <c r="E4" s="189"/>
      <c r="F4" s="189"/>
      <c r="G4" s="48"/>
      <c r="H4" s="48"/>
      <c r="I4" s="48"/>
      <c r="J4" s="48"/>
      <c r="K4" s="48"/>
    </row>
    <row r="5" spans="1:11" ht="21" customHeight="1" x14ac:dyDescent="0.35">
      <c r="A5" s="4" t="s">
        <v>80</v>
      </c>
      <c r="B5" s="189">
        <v>43646</v>
      </c>
      <c r="C5" s="189"/>
      <c r="D5" s="189"/>
      <c r="E5" s="189"/>
      <c r="F5" s="189"/>
      <c r="G5" s="48"/>
      <c r="H5" s="48"/>
      <c r="I5" s="48"/>
      <c r="J5" s="48"/>
      <c r="K5" s="48"/>
    </row>
    <row r="6" spans="1:11" ht="21" customHeight="1" x14ac:dyDescent="0.35">
      <c r="A6" s="4" t="s">
        <v>104</v>
      </c>
      <c r="B6" s="186" t="str">
        <f>IF(AND(Travel!B7&lt;&gt;A30,Hospitality!B7&lt;&gt;A30,'All other expenses'!B7&lt;&gt;A30,'Gifts and benefits'!B7&lt;&gt;A30),A31,IF(AND(Travel!B7=A30,Hospitality!B7=A30,'All other expenses'!B7=A30,'Gifts and benefits'!B7=A30),A33,A32))</f>
        <v>Data and totals checked on all sheets</v>
      </c>
      <c r="C6" s="186"/>
      <c r="D6" s="186"/>
      <c r="E6" s="186"/>
      <c r="F6" s="186"/>
      <c r="G6" s="36"/>
      <c r="H6" s="48"/>
      <c r="I6" s="48"/>
      <c r="J6" s="48"/>
      <c r="K6" s="48"/>
    </row>
    <row r="7" spans="1:11" ht="21" customHeight="1" x14ac:dyDescent="0.35">
      <c r="A7" s="4" t="s">
        <v>133</v>
      </c>
      <c r="B7" s="185" t="s">
        <v>63</v>
      </c>
      <c r="C7" s="185"/>
      <c r="D7" s="185"/>
      <c r="E7" s="185"/>
      <c r="F7" s="185"/>
      <c r="G7" s="36"/>
      <c r="H7" s="48"/>
      <c r="I7" s="48"/>
      <c r="J7" s="48"/>
      <c r="K7" s="48"/>
    </row>
    <row r="8" spans="1:11" ht="21" customHeight="1" x14ac:dyDescent="0.35">
      <c r="A8" s="4" t="s">
        <v>100</v>
      </c>
      <c r="B8" s="185" t="s">
        <v>375</v>
      </c>
      <c r="C8" s="185"/>
      <c r="D8" s="185"/>
      <c r="E8" s="185"/>
      <c r="F8" s="185"/>
      <c r="G8" s="36"/>
      <c r="H8" s="48"/>
      <c r="I8" s="48"/>
      <c r="J8" s="48"/>
      <c r="K8" s="48"/>
    </row>
    <row r="9" spans="1:11" ht="66.75" customHeight="1" x14ac:dyDescent="0.35">
      <c r="A9" s="184" t="s">
        <v>125</v>
      </c>
      <c r="B9" s="184"/>
      <c r="C9" s="184"/>
      <c r="D9" s="184"/>
      <c r="E9" s="184"/>
      <c r="F9" s="184"/>
      <c r="G9" s="36"/>
      <c r="H9" s="48"/>
      <c r="I9" s="48"/>
      <c r="J9" s="48"/>
      <c r="K9" s="48"/>
    </row>
    <row r="10" spans="1:11" s="152" customFormat="1" ht="36" customHeight="1" x14ac:dyDescent="0.4">
      <c r="A10" s="146" t="s">
        <v>48</v>
      </c>
      <c r="B10" s="147" t="s">
        <v>31</v>
      </c>
      <c r="C10" s="147" t="s">
        <v>65</v>
      </c>
      <c r="D10" s="148"/>
      <c r="E10" s="149" t="s">
        <v>47</v>
      </c>
      <c r="F10" s="150" t="s">
        <v>72</v>
      </c>
      <c r="G10" s="151"/>
      <c r="H10" s="151"/>
      <c r="I10" s="151"/>
      <c r="J10" s="151"/>
      <c r="K10" s="151"/>
    </row>
    <row r="11" spans="1:11" ht="27.75" customHeight="1" x14ac:dyDescent="0.4">
      <c r="A11" s="11" t="s">
        <v>84</v>
      </c>
      <c r="B11" s="99">
        <f>B15+B16+B17</f>
        <v>40176.229999999974</v>
      </c>
      <c r="C11" s="107" t="str">
        <f>IF(Travel!B6="",A34,Travel!B6)</f>
        <v>Figures exclude GST</v>
      </c>
      <c r="D11" s="8"/>
      <c r="E11" s="11" t="s">
        <v>95</v>
      </c>
      <c r="F11" s="58">
        <f>'Gifts and benefits'!C27</f>
        <v>12</v>
      </c>
      <c r="G11" s="49"/>
      <c r="H11" s="49"/>
      <c r="I11" s="49"/>
      <c r="J11" s="49"/>
      <c r="K11" s="49"/>
    </row>
    <row r="12" spans="1:11" ht="27.75" customHeight="1" x14ac:dyDescent="0.4">
      <c r="A12" s="11" t="s">
        <v>12</v>
      </c>
      <c r="B12" s="99">
        <f>Hospitality!B22</f>
        <v>813.21</v>
      </c>
      <c r="C12" s="107" t="str">
        <f>IF(Hospitality!B6="",A34,Hospitality!B6)</f>
        <v>Figures exclude GST</v>
      </c>
      <c r="D12" s="8"/>
      <c r="E12" s="11" t="s">
        <v>96</v>
      </c>
      <c r="F12" s="58">
        <f>'Gifts and benefits'!C28</f>
        <v>3</v>
      </c>
      <c r="G12" s="49"/>
      <c r="H12" s="49"/>
      <c r="I12" s="49"/>
      <c r="J12" s="49"/>
      <c r="K12" s="49"/>
    </row>
    <row r="13" spans="1:11" ht="27.75" customHeight="1" x14ac:dyDescent="0.35">
      <c r="A13" s="11" t="s">
        <v>30</v>
      </c>
      <c r="B13" s="99">
        <f>'All other expenses'!B27</f>
        <v>699.53</v>
      </c>
      <c r="C13" s="107" t="str">
        <f>IF('All other expenses'!B6="",A34,'All other expenses'!B6)</f>
        <v>Figures exclude GST</v>
      </c>
      <c r="D13" s="8"/>
      <c r="E13" s="11" t="s">
        <v>97</v>
      </c>
      <c r="F13" s="58">
        <f>'Gifts and benefits'!C29</f>
        <v>9</v>
      </c>
      <c r="G13" s="48"/>
      <c r="H13" s="48"/>
      <c r="I13" s="48"/>
      <c r="J13" s="48"/>
      <c r="K13" s="48"/>
    </row>
    <row r="14" spans="1:11" ht="12.75" customHeight="1" x14ac:dyDescent="0.35">
      <c r="A14" s="10"/>
      <c r="B14" s="100"/>
      <c r="C14" s="108"/>
      <c r="D14" s="59"/>
      <c r="E14" s="8"/>
      <c r="F14" s="60"/>
      <c r="G14" s="28"/>
      <c r="H14" s="28"/>
      <c r="I14" s="28"/>
      <c r="J14" s="28"/>
      <c r="K14" s="28"/>
    </row>
    <row r="15" spans="1:11" ht="27.75" customHeight="1" x14ac:dyDescent="0.35">
      <c r="A15" s="12" t="s">
        <v>45</v>
      </c>
      <c r="B15" s="101">
        <f>Travel!B29</f>
        <v>4171.2</v>
      </c>
      <c r="C15" s="109" t="str">
        <f>C11</f>
        <v>Figures exclude GST</v>
      </c>
      <c r="D15" s="8"/>
      <c r="E15" s="8"/>
      <c r="F15" s="60"/>
      <c r="G15" s="48"/>
      <c r="H15" s="48"/>
      <c r="I15" s="48"/>
      <c r="J15" s="48"/>
      <c r="K15" s="48"/>
    </row>
    <row r="16" spans="1:11" ht="27.75" customHeight="1" x14ac:dyDescent="0.35">
      <c r="A16" s="12" t="s">
        <v>91</v>
      </c>
      <c r="B16" s="101">
        <f>Travel!B249</f>
        <v>35314.889999999978</v>
      </c>
      <c r="C16" s="109" t="str">
        <f>C11</f>
        <v>Figures exclude GST</v>
      </c>
      <c r="D16" s="61"/>
      <c r="E16" s="8"/>
      <c r="F16" s="62"/>
      <c r="G16" s="48"/>
      <c r="H16" s="48"/>
      <c r="I16" s="48"/>
      <c r="J16" s="48"/>
      <c r="K16" s="48"/>
    </row>
    <row r="17" spans="1:11" ht="27.75" customHeight="1" x14ac:dyDescent="0.35">
      <c r="A17" s="12" t="s">
        <v>46</v>
      </c>
      <c r="B17" s="101">
        <f>Travel!B308</f>
        <v>690.13999999999987</v>
      </c>
      <c r="C17" s="109" t="str">
        <f>C11</f>
        <v>Figures exclude GST</v>
      </c>
      <c r="D17" s="8"/>
      <c r="E17" s="8"/>
      <c r="F17" s="62"/>
      <c r="G17" s="48"/>
      <c r="H17" s="48"/>
      <c r="I17" s="48"/>
      <c r="J17" s="48"/>
      <c r="K17" s="48"/>
    </row>
    <row r="18" spans="1:11" ht="27.75" customHeight="1" x14ac:dyDescent="0.4">
      <c r="A18" s="29"/>
      <c r="B18" s="24"/>
      <c r="C18" s="29"/>
      <c r="D18" s="7"/>
      <c r="E18" s="7"/>
      <c r="F18" s="63"/>
      <c r="G18" s="64"/>
      <c r="H18" s="64"/>
      <c r="I18" s="64"/>
      <c r="J18" s="64"/>
      <c r="K18" s="64"/>
    </row>
    <row r="19" spans="1:11" ht="13.15" x14ac:dyDescent="0.4">
      <c r="A19" s="54" t="s">
        <v>8</v>
      </c>
      <c r="B19" s="27"/>
      <c r="C19" s="28"/>
      <c r="D19" s="29"/>
      <c r="E19" s="29"/>
      <c r="F19" s="29"/>
      <c r="G19" s="29"/>
      <c r="H19" s="29"/>
      <c r="I19" s="29"/>
      <c r="J19" s="29"/>
      <c r="K19" s="29"/>
    </row>
    <row r="20" spans="1:11" x14ac:dyDescent="0.35">
      <c r="A20" s="25" t="s">
        <v>9</v>
      </c>
      <c r="B20" s="55"/>
      <c r="C20" s="55"/>
      <c r="D20" s="28"/>
      <c r="E20" s="28"/>
      <c r="F20" s="28"/>
      <c r="G20" s="29"/>
      <c r="H20" s="29"/>
      <c r="I20" s="29"/>
      <c r="J20" s="29"/>
      <c r="K20" s="29"/>
    </row>
    <row r="21" spans="1:11" ht="12.6" customHeight="1" x14ac:dyDescent="0.35">
      <c r="A21" s="25" t="s">
        <v>66</v>
      </c>
      <c r="B21" s="55"/>
      <c r="C21" s="55"/>
      <c r="D21" s="22"/>
      <c r="E21" s="29"/>
      <c r="F21" s="29"/>
      <c r="G21" s="29"/>
      <c r="H21" s="29"/>
      <c r="I21" s="29"/>
      <c r="J21" s="29"/>
      <c r="K21" s="29"/>
    </row>
    <row r="22" spans="1:11" ht="12.6" customHeight="1" x14ac:dyDescent="0.35">
      <c r="A22" s="25" t="s">
        <v>81</v>
      </c>
      <c r="B22" s="55"/>
      <c r="C22" s="55"/>
      <c r="D22" s="22"/>
      <c r="E22" s="29"/>
      <c r="F22" s="29"/>
      <c r="G22" s="29"/>
      <c r="H22" s="29"/>
      <c r="I22" s="29"/>
      <c r="J22" s="29"/>
      <c r="K22" s="29"/>
    </row>
    <row r="23" spans="1:11" ht="12.6" customHeight="1" x14ac:dyDescent="0.35">
      <c r="A23" s="25" t="s">
        <v>101</v>
      </c>
      <c r="B23" s="55"/>
      <c r="C23" s="55"/>
      <c r="D23" s="22"/>
      <c r="E23" s="29"/>
      <c r="F23" s="29"/>
      <c r="G23" s="29"/>
      <c r="H23" s="29"/>
      <c r="I23" s="29"/>
      <c r="J23" s="29"/>
      <c r="K23" s="29"/>
    </row>
    <row r="24" spans="1:11" x14ac:dyDescent="0.35">
      <c r="A24" s="42"/>
      <c r="B24" s="29"/>
      <c r="C24" s="29"/>
      <c r="D24" s="29"/>
      <c r="E24" s="29"/>
      <c r="F24" s="48"/>
      <c r="G24" s="48"/>
      <c r="H24" s="48"/>
      <c r="I24" s="48"/>
      <c r="J24" s="48"/>
      <c r="K24" s="48"/>
    </row>
    <row r="25" spans="1:11" ht="13.15" hidden="1" x14ac:dyDescent="0.4">
      <c r="A25" s="15" t="s">
        <v>141</v>
      </c>
      <c r="B25" s="16"/>
      <c r="C25" s="16"/>
      <c r="D25" s="16"/>
      <c r="E25" s="16"/>
      <c r="F25" s="16"/>
      <c r="G25" s="48"/>
      <c r="H25" s="48"/>
      <c r="I25" s="48"/>
      <c r="J25" s="48"/>
      <c r="K25" s="48"/>
    </row>
    <row r="26" spans="1:11" ht="12.75" hidden="1" customHeight="1" x14ac:dyDescent="0.35">
      <c r="A26" s="14" t="s">
        <v>157</v>
      </c>
      <c r="B26" s="6"/>
      <c r="C26" s="6"/>
      <c r="D26" s="14"/>
      <c r="E26" s="14"/>
      <c r="F26" s="14"/>
      <c r="G26" s="48"/>
      <c r="H26" s="48"/>
      <c r="I26" s="48"/>
      <c r="J26" s="48"/>
      <c r="K26" s="48"/>
    </row>
    <row r="27" spans="1:11" hidden="1" x14ac:dyDescent="0.35">
      <c r="A27" s="13" t="s">
        <v>64</v>
      </c>
      <c r="B27" s="13"/>
      <c r="C27" s="13"/>
      <c r="D27" s="13"/>
      <c r="E27" s="13"/>
      <c r="F27" s="13"/>
      <c r="G27" s="48"/>
      <c r="H27" s="48"/>
      <c r="I27" s="48"/>
      <c r="J27" s="48"/>
      <c r="K27" s="48"/>
    </row>
    <row r="28" spans="1:11" hidden="1" x14ac:dyDescent="0.35">
      <c r="A28" s="13" t="s">
        <v>28</v>
      </c>
      <c r="B28" s="13"/>
      <c r="C28" s="13"/>
      <c r="D28" s="13"/>
      <c r="E28" s="13"/>
      <c r="F28" s="13"/>
      <c r="G28" s="48"/>
      <c r="H28" s="48"/>
      <c r="I28" s="48"/>
      <c r="J28" s="48"/>
      <c r="K28" s="48"/>
    </row>
    <row r="29" spans="1:11" hidden="1" x14ac:dyDescent="0.35">
      <c r="A29" s="14" t="s">
        <v>115</v>
      </c>
      <c r="B29" s="14"/>
      <c r="C29" s="14"/>
      <c r="D29" s="14"/>
      <c r="E29" s="14"/>
      <c r="F29" s="14"/>
      <c r="G29" s="48"/>
      <c r="H29" s="48"/>
      <c r="I29" s="48"/>
      <c r="J29" s="48"/>
      <c r="K29" s="48"/>
    </row>
    <row r="30" spans="1:11" hidden="1" x14ac:dyDescent="0.35">
      <c r="A30" s="14" t="s">
        <v>116</v>
      </c>
      <c r="B30" s="14"/>
      <c r="C30" s="14"/>
      <c r="D30" s="14"/>
      <c r="E30" s="14"/>
      <c r="F30" s="14"/>
      <c r="G30" s="48"/>
      <c r="H30" s="48"/>
      <c r="I30" s="48"/>
      <c r="J30" s="48"/>
      <c r="K30" s="48"/>
    </row>
    <row r="31" spans="1:11" hidden="1" x14ac:dyDescent="0.35">
      <c r="A31" s="13" t="s">
        <v>106</v>
      </c>
      <c r="B31" s="13"/>
      <c r="C31" s="13"/>
      <c r="D31" s="13"/>
      <c r="E31" s="13"/>
      <c r="F31" s="13"/>
      <c r="G31" s="48"/>
      <c r="H31" s="48"/>
      <c r="I31" s="48"/>
      <c r="J31" s="48"/>
      <c r="K31" s="48"/>
    </row>
    <row r="32" spans="1:11" hidden="1" x14ac:dyDescent="0.35">
      <c r="A32" s="13" t="s">
        <v>107</v>
      </c>
      <c r="B32" s="13"/>
      <c r="C32" s="13"/>
      <c r="D32" s="13"/>
      <c r="E32" s="13"/>
      <c r="F32" s="13"/>
      <c r="G32" s="48"/>
      <c r="H32" s="48"/>
      <c r="I32" s="48"/>
      <c r="J32" s="48"/>
      <c r="K32" s="48"/>
    </row>
    <row r="33" spans="1:11" hidden="1" x14ac:dyDescent="0.35">
      <c r="A33" s="13" t="s">
        <v>105</v>
      </c>
      <c r="B33" s="13"/>
      <c r="C33" s="13"/>
      <c r="D33" s="13"/>
      <c r="E33" s="13"/>
      <c r="F33" s="13"/>
      <c r="G33" s="48"/>
      <c r="H33" s="48"/>
      <c r="I33" s="48"/>
      <c r="J33" s="48"/>
      <c r="K33" s="48"/>
    </row>
    <row r="34" spans="1:11" hidden="1" x14ac:dyDescent="0.35">
      <c r="A34" s="14" t="s">
        <v>67</v>
      </c>
      <c r="B34" s="14"/>
      <c r="C34" s="14"/>
      <c r="D34" s="14"/>
      <c r="E34" s="14"/>
      <c r="F34" s="14"/>
      <c r="G34" s="48"/>
      <c r="H34" s="48"/>
      <c r="I34" s="48"/>
      <c r="J34" s="48"/>
      <c r="K34" s="48"/>
    </row>
    <row r="35" spans="1:11" hidden="1" x14ac:dyDescent="0.35">
      <c r="A35" s="14" t="s">
        <v>73</v>
      </c>
      <c r="B35" s="14"/>
      <c r="C35" s="14"/>
      <c r="D35" s="14"/>
      <c r="E35" s="14"/>
      <c r="F35" s="14"/>
      <c r="G35" s="48"/>
      <c r="H35" s="48"/>
      <c r="I35" s="48"/>
      <c r="J35" s="48"/>
      <c r="K35" s="48"/>
    </row>
    <row r="36" spans="1:11" hidden="1" x14ac:dyDescent="0.35">
      <c r="A36" s="104" t="s">
        <v>94</v>
      </c>
      <c r="B36" s="103"/>
      <c r="C36" s="103"/>
      <c r="D36" s="103"/>
      <c r="E36" s="103"/>
      <c r="F36" s="103"/>
      <c r="G36" s="48"/>
      <c r="H36" s="48"/>
      <c r="I36" s="48"/>
      <c r="J36" s="48"/>
      <c r="K36" s="48"/>
    </row>
    <row r="37" spans="1:11" hidden="1" x14ac:dyDescent="0.35">
      <c r="A37" s="104" t="s">
        <v>63</v>
      </c>
      <c r="B37" s="103"/>
      <c r="C37" s="103"/>
      <c r="D37" s="103"/>
      <c r="E37" s="103"/>
      <c r="F37" s="103"/>
      <c r="G37" s="48"/>
      <c r="H37" s="48"/>
      <c r="I37" s="48"/>
      <c r="J37" s="48"/>
      <c r="K37" s="48"/>
    </row>
    <row r="38" spans="1:11" hidden="1" x14ac:dyDescent="0.35">
      <c r="A38" s="65" t="s">
        <v>38</v>
      </c>
      <c r="B38" s="5"/>
      <c r="C38" s="5"/>
      <c r="D38" s="5"/>
      <c r="E38" s="5"/>
      <c r="F38" s="5"/>
      <c r="G38" s="48"/>
      <c r="H38" s="48"/>
      <c r="I38" s="48"/>
      <c r="J38" s="48"/>
      <c r="K38" s="48"/>
    </row>
    <row r="39" spans="1:11" hidden="1" x14ac:dyDescent="0.35">
      <c r="A39" s="66" t="s">
        <v>39</v>
      </c>
      <c r="B39" s="5"/>
      <c r="C39" s="5"/>
      <c r="D39" s="5"/>
      <c r="E39" s="5"/>
      <c r="F39" s="5"/>
      <c r="G39" s="48"/>
      <c r="H39" s="48"/>
      <c r="I39" s="48"/>
      <c r="J39" s="48"/>
      <c r="K39" s="48"/>
    </row>
    <row r="40" spans="1:11" hidden="1" x14ac:dyDescent="0.35">
      <c r="A40" s="66" t="s">
        <v>41</v>
      </c>
      <c r="B40" s="5"/>
      <c r="C40" s="5"/>
      <c r="D40" s="5"/>
      <c r="E40" s="5"/>
      <c r="F40" s="5"/>
      <c r="G40" s="48"/>
      <c r="H40" s="48"/>
      <c r="I40" s="48"/>
      <c r="J40" s="48"/>
      <c r="K40" s="48"/>
    </row>
    <row r="41" spans="1:11" hidden="1" x14ac:dyDescent="0.35">
      <c r="A41" s="66" t="s">
        <v>40</v>
      </c>
      <c r="B41" s="5"/>
      <c r="C41" s="5"/>
      <c r="D41" s="5"/>
      <c r="E41" s="5"/>
      <c r="F41" s="5"/>
      <c r="G41" s="48"/>
      <c r="H41" s="48"/>
      <c r="I41" s="48"/>
      <c r="J41" s="48"/>
      <c r="K41" s="48"/>
    </row>
    <row r="42" spans="1:11" hidden="1" x14ac:dyDescent="0.35">
      <c r="A42" s="66" t="s">
        <v>42</v>
      </c>
      <c r="B42" s="5"/>
      <c r="C42" s="5"/>
      <c r="D42" s="5"/>
      <c r="E42" s="5"/>
      <c r="F42" s="5"/>
      <c r="G42" s="48"/>
      <c r="H42" s="48"/>
      <c r="I42" s="48"/>
      <c r="J42" s="48"/>
      <c r="K42" s="48"/>
    </row>
    <row r="43" spans="1:11" hidden="1" x14ac:dyDescent="0.35">
      <c r="A43" s="66" t="s">
        <v>43</v>
      </c>
      <c r="B43" s="5"/>
      <c r="C43" s="5"/>
      <c r="D43" s="5"/>
      <c r="E43" s="5"/>
      <c r="F43" s="5"/>
      <c r="G43" s="48"/>
      <c r="H43" s="48"/>
      <c r="I43" s="48"/>
      <c r="J43" s="48"/>
      <c r="K43" s="48"/>
    </row>
    <row r="44" spans="1:11" hidden="1" x14ac:dyDescent="0.35">
      <c r="A44" s="105" t="s">
        <v>36</v>
      </c>
      <c r="B44" s="103"/>
      <c r="C44" s="103"/>
      <c r="D44" s="103"/>
      <c r="E44" s="103"/>
      <c r="F44" s="103"/>
      <c r="G44" s="48"/>
      <c r="H44" s="48"/>
      <c r="I44" s="48"/>
      <c r="J44" s="48"/>
      <c r="K44" s="48"/>
    </row>
    <row r="45" spans="1:11" hidden="1" x14ac:dyDescent="0.35">
      <c r="A45" s="103" t="s">
        <v>34</v>
      </c>
      <c r="B45" s="103"/>
      <c r="C45" s="103"/>
      <c r="D45" s="103"/>
      <c r="E45" s="103"/>
      <c r="F45" s="103"/>
      <c r="G45" s="48"/>
      <c r="H45" s="48"/>
      <c r="I45" s="48"/>
      <c r="J45" s="48"/>
      <c r="K45" s="48"/>
    </row>
    <row r="46" spans="1:11" hidden="1" x14ac:dyDescent="0.35">
      <c r="A46" s="67">
        <v>-20000</v>
      </c>
      <c r="B46" s="5"/>
      <c r="C46" s="5"/>
      <c r="D46" s="5"/>
      <c r="E46" s="5"/>
      <c r="F46" s="5"/>
      <c r="G46" s="48"/>
      <c r="H46" s="48"/>
      <c r="I46" s="48"/>
      <c r="J46" s="48"/>
      <c r="K46" s="48"/>
    </row>
    <row r="47" spans="1:11" ht="25.5" hidden="1" x14ac:dyDescent="0.35">
      <c r="A47" s="140" t="s">
        <v>138</v>
      </c>
      <c r="B47" s="103"/>
      <c r="C47" s="103"/>
      <c r="D47" s="103"/>
      <c r="E47" s="103"/>
      <c r="F47" s="103"/>
      <c r="G47" s="48"/>
      <c r="H47" s="48"/>
      <c r="I47" s="48"/>
      <c r="J47" s="48"/>
      <c r="K47" s="48"/>
    </row>
    <row r="48" spans="1:11" ht="25.5" hidden="1" x14ac:dyDescent="0.35">
      <c r="A48" s="140" t="s">
        <v>137</v>
      </c>
      <c r="B48" s="103"/>
      <c r="C48" s="103"/>
      <c r="D48" s="103"/>
      <c r="E48" s="103"/>
      <c r="F48" s="103"/>
      <c r="G48" s="48"/>
      <c r="H48" s="48"/>
      <c r="I48" s="48"/>
      <c r="J48" s="48"/>
      <c r="K48" s="48"/>
    </row>
    <row r="49" spans="1:11" ht="25.5" hidden="1" x14ac:dyDescent="0.35">
      <c r="A49" s="141" t="s">
        <v>139</v>
      </c>
      <c r="B49" s="5"/>
      <c r="C49" s="5"/>
      <c r="D49" s="5"/>
      <c r="E49" s="5"/>
      <c r="F49" s="5"/>
      <c r="G49" s="48"/>
      <c r="H49" s="48"/>
      <c r="I49" s="48"/>
      <c r="J49" s="48"/>
      <c r="K49" s="48"/>
    </row>
    <row r="50" spans="1:11" ht="25.5" hidden="1" x14ac:dyDescent="0.35">
      <c r="A50" s="141" t="s">
        <v>113</v>
      </c>
      <c r="B50" s="5"/>
      <c r="C50" s="5"/>
      <c r="D50" s="5"/>
      <c r="E50" s="5"/>
      <c r="F50" s="5"/>
      <c r="G50" s="48"/>
      <c r="H50" s="48"/>
      <c r="I50" s="48"/>
      <c r="J50" s="48"/>
      <c r="K50" s="48"/>
    </row>
    <row r="51" spans="1:11" ht="38.25" hidden="1" x14ac:dyDescent="0.4">
      <c r="A51" s="141" t="s">
        <v>114</v>
      </c>
      <c r="B51" s="131"/>
      <c r="C51" s="131"/>
      <c r="D51" s="139"/>
      <c r="E51" s="68"/>
      <c r="F51" s="68"/>
      <c r="G51" s="48"/>
      <c r="H51" s="48"/>
      <c r="I51" s="48"/>
      <c r="J51" s="48"/>
      <c r="K51" s="48"/>
    </row>
    <row r="52" spans="1:11" ht="13.15" hidden="1" x14ac:dyDescent="0.4">
      <c r="A52" s="136" t="s">
        <v>117</v>
      </c>
      <c r="B52" s="137"/>
      <c r="C52" s="137"/>
      <c r="D52" s="130"/>
      <c r="E52" s="69"/>
      <c r="F52" s="69" t="b">
        <v>1</v>
      </c>
      <c r="G52" s="48"/>
      <c r="H52" s="48"/>
      <c r="I52" s="48"/>
      <c r="J52" s="48"/>
      <c r="K52" s="48"/>
    </row>
    <row r="53" spans="1:11" ht="13.15" hidden="1" x14ac:dyDescent="0.4">
      <c r="A53" s="138" t="s">
        <v>140</v>
      </c>
      <c r="B53" s="136"/>
      <c r="C53" s="136"/>
      <c r="D53" s="136"/>
      <c r="E53" s="69"/>
      <c r="F53" s="69" t="b">
        <v>0</v>
      </c>
      <c r="G53" s="48"/>
      <c r="H53" s="48"/>
      <c r="I53" s="48"/>
      <c r="J53" s="48"/>
      <c r="K53" s="48"/>
    </row>
    <row r="54" spans="1:11" ht="13.15" hidden="1" x14ac:dyDescent="0.35">
      <c r="A54" s="142"/>
      <c r="B54" s="132">
        <f>COUNT(Travel!B12:B28)</f>
        <v>13</v>
      </c>
      <c r="C54" s="132"/>
      <c r="D54" s="132">
        <f>COUNTIF(Travel!D12:D28,"*")</f>
        <v>12</v>
      </c>
      <c r="E54" s="133"/>
      <c r="F54" s="133" t="b">
        <f>MIN(B54,D54)=MAX(B54,D54)</f>
        <v>0</v>
      </c>
      <c r="G54" s="48"/>
      <c r="H54" s="48"/>
      <c r="I54" s="48"/>
      <c r="J54" s="48"/>
      <c r="K54" s="48"/>
    </row>
    <row r="55" spans="1:11" ht="13.15" hidden="1" x14ac:dyDescent="0.35">
      <c r="A55" s="142" t="s">
        <v>111</v>
      </c>
      <c r="B55" s="132">
        <f>COUNT(Travel!B33:B248)</f>
        <v>165</v>
      </c>
      <c r="C55" s="132"/>
      <c r="D55" s="132">
        <f>COUNTIF(Travel!D33:D248,"*")</f>
        <v>165</v>
      </c>
      <c r="E55" s="133"/>
      <c r="F55" s="133" t="b">
        <f>MIN(B55,D55)=MAX(B55,D55)</f>
        <v>1</v>
      </c>
    </row>
    <row r="56" spans="1:11" ht="13.15" hidden="1" x14ac:dyDescent="0.4">
      <c r="A56" s="143"/>
      <c r="B56" s="132">
        <f>COUNT(Travel!B253:B307)</f>
        <v>20</v>
      </c>
      <c r="C56" s="132"/>
      <c r="D56" s="132">
        <f>COUNTIF(Travel!D253:D307,"*")</f>
        <v>19</v>
      </c>
      <c r="E56" s="133"/>
      <c r="F56" s="133" t="b">
        <f>MIN(B56,D56)=MAX(B56,D56)</f>
        <v>0</v>
      </c>
    </row>
    <row r="57" spans="1:11" ht="13.15" hidden="1" x14ac:dyDescent="0.4">
      <c r="A57" s="144" t="s">
        <v>109</v>
      </c>
      <c r="B57" s="134">
        <f>COUNT(Hospitality!B11:B21)</f>
        <v>8</v>
      </c>
      <c r="C57" s="134"/>
      <c r="D57" s="134">
        <f>COUNTIF(Hospitality!D11:D21,"*")</f>
        <v>8</v>
      </c>
      <c r="E57" s="135"/>
      <c r="F57" s="135" t="b">
        <f>MIN(B57,D57)=MAX(B57,D57)</f>
        <v>1</v>
      </c>
    </row>
    <row r="58" spans="1:11" ht="13.15" hidden="1" x14ac:dyDescent="0.4">
      <c r="A58" s="145" t="s">
        <v>110</v>
      </c>
      <c r="B58" s="133">
        <f>COUNT('All other expenses'!B11:B26)</f>
        <v>12</v>
      </c>
      <c r="C58" s="133"/>
      <c r="D58" s="133">
        <f>COUNTIF('All other expenses'!D11:D26,"*")</f>
        <v>3</v>
      </c>
      <c r="E58" s="133"/>
      <c r="F58" s="133" t="b">
        <f>MIN(B58,D58)=MAX(B58,D58)</f>
        <v>0</v>
      </c>
    </row>
    <row r="59" spans="1:11" ht="13.15" hidden="1" x14ac:dyDescent="0.4">
      <c r="A59" s="144" t="s">
        <v>108</v>
      </c>
      <c r="B59" s="134">
        <f>COUNTIF('Gifts and benefits'!B11:B26,"*")</f>
        <v>12</v>
      </c>
      <c r="C59" s="134">
        <f>COUNTIF('Gifts and benefits'!C11:C26,"*")</f>
        <v>12</v>
      </c>
      <c r="D59" s="134"/>
      <c r="E59" s="134">
        <f>COUNTA('Gifts and benefits'!E11:E26)</f>
        <v>3</v>
      </c>
      <c r="F59" s="135" t="b">
        <f>MIN(B59,C59,E59)=MAX(B59,C59,E59)</f>
        <v>0</v>
      </c>
    </row>
    <row r="60" spans="1:11" x14ac:dyDescent="0.35"/>
    <row r="61" spans="1:11" hidden="1" x14ac:dyDescent="0.35"/>
    <row r="62" spans="1:11" hidden="1" x14ac:dyDescent="0.35"/>
    <row r="63" spans="1:11" hidden="1" x14ac:dyDescent="0.35"/>
    <row r="64" spans="1:11"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2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200-000001000000}"/>
    <dataValidation allowBlank="1" showInputMessage="1" showErrorMessage="1" prompt="Headings on following tabs will pre populate with what you enter here" sqref="B2:F2" xr:uid="{00000000-0002-0000-0200-000002000000}"/>
    <dataValidation allowBlank="1" showInputMessage="1" showErrorMessage="1" prompt="Headings on following tabs will pre populate with what you enter here_x000a__x000a_Create a new workbook for a new Chief Executive" sqref="B3:F3" xr:uid="{00000000-0002-0000-0200-000003000000}"/>
    <dataValidation allowBlank="1" showInputMessage="1" showErrorMessage="1" prompt="Headings on following tabs will pre populate with what you enter here_x000a__x000a_Update if a shorter or different period is covered" sqref="B4:F5" xr:uid="{00000000-0002-0000-02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2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M333"/>
  <sheetViews>
    <sheetView zoomScaleNormal="100" workbookViewId="0">
      <selection activeCell="C218" sqref="C218"/>
    </sheetView>
  </sheetViews>
  <sheetFormatPr defaultColWidth="0" defaultRowHeight="12.75" x14ac:dyDescent="0.35"/>
  <cols>
    <col min="1" max="1" width="35.73046875" style="17" customWidth="1"/>
    <col min="2" max="2" width="14.265625" style="17" customWidth="1"/>
    <col min="3" max="3" width="71.3984375" style="17" customWidth="1"/>
    <col min="4" max="4" width="50" style="17" customWidth="1"/>
    <col min="5" max="5" width="21.3984375" style="17" customWidth="1"/>
    <col min="6" max="6" width="37.59765625" style="17" customWidth="1"/>
    <col min="7" max="9" width="9.1328125" style="17" hidden="1" customWidth="1"/>
    <col min="10" max="13" width="0" style="17" hidden="1" customWidth="1"/>
    <col min="14" max="16384" width="9.1328125" style="17" hidden="1"/>
  </cols>
  <sheetData>
    <row r="1" spans="1:6" ht="26.25" customHeight="1" x14ac:dyDescent="0.35">
      <c r="A1" s="187" t="s">
        <v>6</v>
      </c>
      <c r="B1" s="187"/>
      <c r="C1" s="187"/>
      <c r="D1" s="187"/>
      <c r="E1" s="187"/>
      <c r="F1" s="48"/>
    </row>
    <row r="2" spans="1:6" ht="21" customHeight="1" x14ac:dyDescent="0.35">
      <c r="A2" s="4" t="s">
        <v>2</v>
      </c>
      <c r="B2" s="190" t="str">
        <f>'Summary and sign-off'!B2:F2</f>
        <v>Sport NZ</v>
      </c>
      <c r="C2" s="190"/>
      <c r="D2" s="190"/>
      <c r="E2" s="190"/>
      <c r="F2" s="48"/>
    </row>
    <row r="3" spans="1:6" ht="21" customHeight="1" x14ac:dyDescent="0.35">
      <c r="A3" s="4" t="s">
        <v>3</v>
      </c>
      <c r="B3" s="190" t="str">
        <f>'Summary and sign-off'!B3:F3</f>
        <v>Peter Miskimmin</v>
      </c>
      <c r="C3" s="190"/>
      <c r="D3" s="190"/>
      <c r="E3" s="190"/>
      <c r="F3" s="48"/>
    </row>
    <row r="4" spans="1:6" ht="21" customHeight="1" x14ac:dyDescent="0.35">
      <c r="A4" s="4" t="s">
        <v>77</v>
      </c>
      <c r="B4" s="190">
        <f>'Summary and sign-off'!B4:F4</f>
        <v>43282</v>
      </c>
      <c r="C4" s="190"/>
      <c r="D4" s="190"/>
      <c r="E4" s="190"/>
      <c r="F4" s="48"/>
    </row>
    <row r="5" spans="1:6" ht="21" customHeight="1" x14ac:dyDescent="0.35">
      <c r="A5" s="4" t="s">
        <v>78</v>
      </c>
      <c r="B5" s="190">
        <f>'Summary and sign-off'!B5:F5</f>
        <v>43646</v>
      </c>
      <c r="C5" s="190"/>
      <c r="D5" s="190"/>
      <c r="E5" s="190"/>
      <c r="F5" s="48"/>
    </row>
    <row r="6" spans="1:6" ht="21" customHeight="1" x14ac:dyDescent="0.35">
      <c r="A6" s="4" t="s">
        <v>29</v>
      </c>
      <c r="B6" s="185" t="s">
        <v>28</v>
      </c>
      <c r="C6" s="185"/>
      <c r="D6" s="185"/>
      <c r="E6" s="185"/>
      <c r="F6" s="48"/>
    </row>
    <row r="7" spans="1:6" ht="21" customHeight="1" x14ac:dyDescent="0.35">
      <c r="A7" s="4" t="s">
        <v>104</v>
      </c>
      <c r="B7" s="185" t="s">
        <v>116</v>
      </c>
      <c r="C7" s="185"/>
      <c r="D7" s="185"/>
      <c r="E7" s="185"/>
      <c r="F7" s="48"/>
    </row>
    <row r="8" spans="1:6" ht="36" customHeight="1" x14ac:dyDescent="0.4">
      <c r="A8" s="193" t="s">
        <v>4</v>
      </c>
      <c r="B8" s="194"/>
      <c r="C8" s="194"/>
      <c r="D8" s="194"/>
      <c r="E8" s="194"/>
      <c r="F8" s="24"/>
    </row>
    <row r="9" spans="1:6" ht="36" customHeight="1" x14ac:dyDescent="0.4">
      <c r="A9" s="195" t="s">
        <v>142</v>
      </c>
      <c r="B9" s="196"/>
      <c r="C9" s="196"/>
      <c r="D9" s="196"/>
      <c r="E9" s="196"/>
      <c r="F9" s="24"/>
    </row>
    <row r="10" spans="1:6" ht="24.75" customHeight="1" x14ac:dyDescent="0.4">
      <c r="A10" s="192" t="s">
        <v>143</v>
      </c>
      <c r="B10" s="197"/>
      <c r="C10" s="192"/>
      <c r="D10" s="192"/>
      <c r="E10" s="192"/>
      <c r="F10" s="49"/>
    </row>
    <row r="11" spans="1:6" ht="27" customHeight="1" x14ac:dyDescent="0.35">
      <c r="A11" s="37" t="s">
        <v>49</v>
      </c>
      <c r="B11" s="37" t="s">
        <v>144</v>
      </c>
      <c r="C11" s="37" t="s">
        <v>145</v>
      </c>
      <c r="D11" s="37" t="s">
        <v>102</v>
      </c>
      <c r="E11" s="37" t="s">
        <v>76</v>
      </c>
      <c r="F11" s="50"/>
    </row>
    <row r="12" spans="1:6" s="89" customFormat="1" x14ac:dyDescent="0.35">
      <c r="A12" s="158">
        <v>43311</v>
      </c>
      <c r="B12" s="111">
        <v>-45.19</v>
      </c>
      <c r="C12" s="112" t="s">
        <v>168</v>
      </c>
      <c r="D12" s="112"/>
      <c r="E12" s="113"/>
      <c r="F12" s="1"/>
    </row>
    <row r="13" spans="1:6" s="166" customFormat="1" x14ac:dyDescent="0.35">
      <c r="A13" s="164"/>
      <c r="B13" s="168"/>
      <c r="C13" s="154"/>
      <c r="D13" s="154"/>
      <c r="E13" s="155"/>
      <c r="F13" s="165"/>
    </row>
    <row r="14" spans="1:6" s="89" customFormat="1" x14ac:dyDescent="0.35">
      <c r="A14" s="114" t="s">
        <v>169</v>
      </c>
      <c r="B14" s="162">
        <v>525.68000000000006</v>
      </c>
      <c r="C14" s="112" t="s">
        <v>287</v>
      </c>
      <c r="D14" s="112" t="s">
        <v>171</v>
      </c>
      <c r="E14" s="113" t="s">
        <v>176</v>
      </c>
      <c r="F14" s="1"/>
    </row>
    <row r="15" spans="1:6" s="89" customFormat="1" x14ac:dyDescent="0.35">
      <c r="A15" s="114"/>
      <c r="B15" s="162">
        <v>303.52</v>
      </c>
      <c r="C15" s="112" t="s">
        <v>170</v>
      </c>
      <c r="D15" s="112" t="s">
        <v>172</v>
      </c>
      <c r="E15" s="113" t="s">
        <v>176</v>
      </c>
      <c r="F15" s="1"/>
    </row>
    <row r="16" spans="1:6" s="89" customFormat="1" ht="12.75" customHeight="1" x14ac:dyDescent="0.35">
      <c r="A16" s="114"/>
      <c r="B16" s="162">
        <f>67.81+81.47</f>
        <v>149.28</v>
      </c>
      <c r="C16" s="112" t="s">
        <v>170</v>
      </c>
      <c r="D16" s="112" t="s">
        <v>173</v>
      </c>
      <c r="E16" s="113" t="s">
        <v>176</v>
      </c>
      <c r="F16" s="1"/>
    </row>
    <row r="17" spans="1:6" s="89" customFormat="1" x14ac:dyDescent="0.35">
      <c r="A17" s="110"/>
      <c r="B17" s="162">
        <v>59.15</v>
      </c>
      <c r="C17" s="112" t="s">
        <v>170</v>
      </c>
      <c r="D17" s="112" t="s">
        <v>371</v>
      </c>
      <c r="E17" s="113" t="s">
        <v>176</v>
      </c>
      <c r="F17" s="1"/>
    </row>
    <row r="18" spans="1:6" s="166" customFormat="1" x14ac:dyDescent="0.35">
      <c r="A18" s="169"/>
      <c r="B18" s="163"/>
      <c r="C18" s="154"/>
      <c r="D18" s="154"/>
      <c r="E18" s="155"/>
      <c r="F18" s="165"/>
    </row>
    <row r="19" spans="1:6" s="166" customFormat="1" x14ac:dyDescent="0.35">
      <c r="A19" s="110" t="s">
        <v>312</v>
      </c>
      <c r="B19" s="162">
        <f>40+25+25+321.94+671.84+5</f>
        <v>1088.78</v>
      </c>
      <c r="C19" s="112" t="s">
        <v>309</v>
      </c>
      <c r="D19" s="112" t="s">
        <v>178</v>
      </c>
      <c r="E19" s="113" t="s">
        <v>310</v>
      </c>
      <c r="F19" s="165"/>
    </row>
    <row r="20" spans="1:6" s="166" customFormat="1" x14ac:dyDescent="0.35">
      <c r="A20" s="110" t="s">
        <v>312</v>
      </c>
      <c r="B20" s="162">
        <f>308.53+5+242.15</f>
        <v>555.67999999999995</v>
      </c>
      <c r="C20" s="112" t="s">
        <v>309</v>
      </c>
      <c r="D20" s="112" t="s">
        <v>212</v>
      </c>
      <c r="E20" s="113" t="s">
        <v>311</v>
      </c>
      <c r="F20" s="165"/>
    </row>
    <row r="21" spans="1:6" s="166" customFormat="1" x14ac:dyDescent="0.35">
      <c r="A21" s="110" t="s">
        <v>312</v>
      </c>
      <c r="B21" s="162">
        <f>25.12+31.08</f>
        <v>56.2</v>
      </c>
      <c r="C21" s="112" t="s">
        <v>309</v>
      </c>
      <c r="D21" s="112" t="s">
        <v>173</v>
      </c>
      <c r="E21" s="113" t="s">
        <v>310</v>
      </c>
      <c r="F21" s="163"/>
    </row>
    <row r="22" spans="1:6" s="166" customFormat="1" x14ac:dyDescent="0.35">
      <c r="A22" s="110" t="s">
        <v>312</v>
      </c>
      <c r="B22" s="182">
        <f>29.34+17.32+43.8</f>
        <v>90.46</v>
      </c>
      <c r="C22" s="112" t="s">
        <v>309</v>
      </c>
      <c r="D22" s="112" t="s">
        <v>174</v>
      </c>
      <c r="E22" s="113" t="s">
        <v>310</v>
      </c>
    </row>
    <row r="23" spans="1:6" s="166" customFormat="1" x14ac:dyDescent="0.35">
      <c r="A23" s="110" t="s">
        <v>312</v>
      </c>
      <c r="B23" s="162">
        <v>59.15</v>
      </c>
      <c r="C23" s="112" t="s">
        <v>309</v>
      </c>
      <c r="D23" s="112" t="s">
        <v>213</v>
      </c>
      <c r="E23" s="113" t="s">
        <v>310</v>
      </c>
    </row>
    <row r="24" spans="1:6" s="166" customFormat="1" x14ac:dyDescent="0.35">
      <c r="A24" s="169"/>
      <c r="B24" s="163"/>
      <c r="C24" s="154"/>
      <c r="D24" s="154"/>
      <c r="E24" s="155"/>
      <c r="F24" s="165"/>
    </row>
    <row r="25" spans="1:6" s="166" customFormat="1" x14ac:dyDescent="0.35">
      <c r="A25" s="157">
        <v>43616</v>
      </c>
      <c r="B25" s="162">
        <f>1005.98+20+25+25+40</f>
        <v>1115.98</v>
      </c>
      <c r="C25" s="112" t="s">
        <v>329</v>
      </c>
      <c r="D25" s="112" t="s">
        <v>178</v>
      </c>
      <c r="E25" s="113" t="s">
        <v>176</v>
      </c>
      <c r="F25" s="165"/>
    </row>
    <row r="26" spans="1:6" s="166" customFormat="1" x14ac:dyDescent="0.35">
      <c r="A26" s="157">
        <v>43616</v>
      </c>
      <c r="B26" s="162">
        <v>202.51</v>
      </c>
      <c r="C26" s="112" t="s">
        <v>329</v>
      </c>
      <c r="D26" s="112" t="s">
        <v>172</v>
      </c>
      <c r="E26" s="113" t="s">
        <v>358</v>
      </c>
      <c r="F26" s="163"/>
    </row>
    <row r="27" spans="1:6" s="166" customFormat="1" x14ac:dyDescent="0.35">
      <c r="A27" s="174"/>
      <c r="B27" s="163"/>
      <c r="C27" s="154"/>
      <c r="D27" s="154"/>
      <c r="E27" s="155"/>
      <c r="F27" s="165"/>
    </row>
    <row r="28" spans="1:6" s="89" customFormat="1" x14ac:dyDescent="0.35">
      <c r="A28" s="122"/>
      <c r="B28" s="123">
        <v>10</v>
      </c>
      <c r="C28" s="124"/>
      <c r="D28" s="124" t="s">
        <v>175</v>
      </c>
      <c r="E28" s="125"/>
      <c r="F28" s="1"/>
    </row>
    <row r="29" spans="1:6" ht="19.5" customHeight="1" x14ac:dyDescent="0.35">
      <c r="A29" s="126" t="s">
        <v>154</v>
      </c>
      <c r="B29" s="127">
        <f>SUM(B12:B28)</f>
        <v>4171.2</v>
      </c>
      <c r="C29" s="128" t="str">
        <f>IF(SUBTOTAL(3,B12:B28)=SUBTOTAL(103,B12:B28),'Summary and sign-off'!$A$47,'Summary and sign-off'!$A$48)</f>
        <v>Check - there are no hidden rows with data</v>
      </c>
      <c r="D29" s="191" t="str">
        <f>IF('Summary and sign-off'!F54='Summary and sign-off'!F53,'Summary and sign-off'!A50,'Summary and sign-off'!A49)</f>
        <v>Not all lines have an entry for "Cost in NZ$" and "Type of expense"</v>
      </c>
      <c r="E29" s="191"/>
      <c r="F29" s="48"/>
    </row>
    <row r="30" spans="1:6" ht="10.5" customHeight="1" x14ac:dyDescent="0.4">
      <c r="A30" s="29"/>
      <c r="B30" s="24"/>
      <c r="C30" s="29"/>
      <c r="D30" s="29"/>
      <c r="E30" s="29"/>
      <c r="F30" s="29"/>
    </row>
    <row r="31" spans="1:6" ht="24.75" customHeight="1" x14ac:dyDescent="0.4">
      <c r="A31" s="192" t="s">
        <v>92</v>
      </c>
      <c r="B31" s="192"/>
      <c r="C31" s="192"/>
      <c r="D31" s="192"/>
      <c r="E31" s="192"/>
      <c r="F31" s="49"/>
    </row>
    <row r="32" spans="1:6" ht="27" customHeight="1" x14ac:dyDescent="0.35">
      <c r="A32" s="37" t="s">
        <v>49</v>
      </c>
      <c r="B32" s="37" t="s">
        <v>31</v>
      </c>
      <c r="C32" s="37" t="s">
        <v>146</v>
      </c>
      <c r="D32" s="37" t="s">
        <v>102</v>
      </c>
      <c r="E32" s="37" t="s">
        <v>76</v>
      </c>
      <c r="F32" s="50"/>
    </row>
    <row r="33" spans="1:6" s="89" customFormat="1" x14ac:dyDescent="0.35">
      <c r="A33" s="114"/>
      <c r="B33" s="111"/>
      <c r="C33" s="112"/>
      <c r="D33" s="112"/>
      <c r="E33" s="113"/>
      <c r="F33" s="1"/>
    </row>
    <row r="34" spans="1:6" s="89" customFormat="1" x14ac:dyDescent="0.35">
      <c r="A34" s="160">
        <v>43292</v>
      </c>
      <c r="B34" s="162">
        <f>453.67+60.24+6+15</f>
        <v>534.91</v>
      </c>
      <c r="C34" s="112" t="s">
        <v>177</v>
      </c>
      <c r="D34" s="112" t="s">
        <v>178</v>
      </c>
      <c r="E34" s="113" t="s">
        <v>288</v>
      </c>
      <c r="F34" s="1"/>
    </row>
    <row r="35" spans="1:6" s="89" customFormat="1" x14ac:dyDescent="0.35">
      <c r="A35" s="160">
        <v>43292</v>
      </c>
      <c r="B35" s="162">
        <f>54.61+54+35.22+97.3</f>
        <v>241.13</v>
      </c>
      <c r="C35" s="112" t="s">
        <v>177</v>
      </c>
      <c r="D35" s="112" t="s">
        <v>179</v>
      </c>
      <c r="E35" s="113" t="s">
        <v>288</v>
      </c>
      <c r="F35" s="1"/>
    </row>
    <row r="36" spans="1:6" s="166" customFormat="1" x14ac:dyDescent="0.35">
      <c r="A36" s="161"/>
      <c r="B36" s="163"/>
      <c r="C36" s="154"/>
      <c r="D36" s="154"/>
      <c r="E36" s="155"/>
      <c r="F36" s="165"/>
    </row>
    <row r="37" spans="1:6" s="89" customFormat="1" x14ac:dyDescent="0.35">
      <c r="A37" s="160">
        <v>43311</v>
      </c>
      <c r="B37" s="162">
        <v>313.32</v>
      </c>
      <c r="C37" s="112" t="s">
        <v>182</v>
      </c>
      <c r="D37" s="112" t="s">
        <v>178</v>
      </c>
      <c r="E37" s="113" t="s">
        <v>288</v>
      </c>
      <c r="F37" s="1"/>
    </row>
    <row r="38" spans="1:6" s="89" customFormat="1" x14ac:dyDescent="0.35">
      <c r="A38" s="160">
        <v>43311</v>
      </c>
      <c r="B38" s="162">
        <f>34.26+30.78+1.74</f>
        <v>66.779999999999987</v>
      </c>
      <c r="C38" s="112" t="s">
        <v>182</v>
      </c>
      <c r="D38" s="112" t="s">
        <v>180</v>
      </c>
      <c r="E38" s="113" t="s">
        <v>288</v>
      </c>
      <c r="F38" s="1"/>
    </row>
    <row r="39" spans="1:6" s="89" customFormat="1" x14ac:dyDescent="0.35">
      <c r="A39" s="160">
        <v>43311</v>
      </c>
      <c r="B39" s="162">
        <v>62.63</v>
      </c>
      <c r="C39" s="112" t="s">
        <v>182</v>
      </c>
      <c r="D39" s="112" t="s">
        <v>181</v>
      </c>
      <c r="E39" s="113"/>
      <c r="F39" s="1"/>
    </row>
    <row r="40" spans="1:6" s="166" customFormat="1" x14ac:dyDescent="0.35">
      <c r="A40" s="161"/>
      <c r="B40" s="163"/>
      <c r="C40" s="154"/>
      <c r="D40" s="154"/>
      <c r="E40" s="155"/>
      <c r="F40" s="165"/>
    </row>
    <row r="41" spans="1:6" s="89" customFormat="1" x14ac:dyDescent="0.35">
      <c r="A41" s="160">
        <v>43325</v>
      </c>
      <c r="B41" s="162">
        <v>417.49</v>
      </c>
      <c r="C41" s="112" t="s">
        <v>183</v>
      </c>
      <c r="D41" s="112" t="s">
        <v>178</v>
      </c>
      <c r="E41" s="113" t="s">
        <v>290</v>
      </c>
      <c r="F41" s="1"/>
    </row>
    <row r="42" spans="1:6" s="89" customFormat="1" x14ac:dyDescent="0.35">
      <c r="A42" s="160">
        <v>43325</v>
      </c>
      <c r="B42" s="162">
        <f>33.39+33.56</f>
        <v>66.95</v>
      </c>
      <c r="C42" s="112" t="s">
        <v>183</v>
      </c>
      <c r="D42" s="112" t="s">
        <v>173</v>
      </c>
      <c r="E42" s="113" t="s">
        <v>290</v>
      </c>
      <c r="F42" s="1"/>
    </row>
    <row r="43" spans="1:6" s="89" customFormat="1" x14ac:dyDescent="0.35">
      <c r="A43" s="160">
        <v>43325</v>
      </c>
      <c r="B43" s="162">
        <v>49.66</v>
      </c>
      <c r="C43" s="112" t="s">
        <v>183</v>
      </c>
      <c r="D43" s="112" t="s">
        <v>181</v>
      </c>
      <c r="E43" s="113" t="s">
        <v>290</v>
      </c>
      <c r="F43" s="1"/>
    </row>
    <row r="44" spans="1:6" s="166" customFormat="1" x14ac:dyDescent="0.35">
      <c r="A44" s="161"/>
      <c r="B44" s="163"/>
      <c r="C44" s="154"/>
      <c r="D44" s="154"/>
      <c r="E44" s="155"/>
      <c r="F44" s="165"/>
    </row>
    <row r="45" spans="1:6" s="89" customFormat="1" x14ac:dyDescent="0.35">
      <c r="A45" s="160">
        <v>43326</v>
      </c>
      <c r="B45" s="162">
        <f>436.42-282.78+10</f>
        <v>163.64000000000004</v>
      </c>
      <c r="C45" s="112" t="s">
        <v>184</v>
      </c>
      <c r="D45" s="112" t="s">
        <v>178</v>
      </c>
      <c r="E45" s="113" t="s">
        <v>288</v>
      </c>
      <c r="F45" s="1"/>
    </row>
    <row r="46" spans="1:6" s="89" customFormat="1" x14ac:dyDescent="0.35">
      <c r="A46" s="160">
        <v>43326</v>
      </c>
      <c r="B46" s="162">
        <v>78.709999999999994</v>
      </c>
      <c r="C46" s="112" t="s">
        <v>184</v>
      </c>
      <c r="D46" s="112" t="s">
        <v>185</v>
      </c>
      <c r="E46" s="113" t="s">
        <v>288</v>
      </c>
      <c r="F46" s="1"/>
    </row>
    <row r="47" spans="1:6" s="89" customFormat="1" x14ac:dyDescent="0.35">
      <c r="A47" s="160">
        <v>43326</v>
      </c>
      <c r="B47" s="162">
        <v>29.57</v>
      </c>
      <c r="C47" s="112" t="s">
        <v>184</v>
      </c>
      <c r="D47" s="112" t="s">
        <v>354</v>
      </c>
      <c r="E47" s="113" t="s">
        <v>251</v>
      </c>
      <c r="F47" s="1"/>
    </row>
    <row r="48" spans="1:6" s="166" customFormat="1" x14ac:dyDescent="0.35">
      <c r="A48" s="161"/>
      <c r="B48" s="163"/>
      <c r="C48" s="154"/>
      <c r="D48" s="154"/>
      <c r="E48" s="155"/>
      <c r="F48" s="165"/>
    </row>
    <row r="49" spans="1:6" s="89" customFormat="1" x14ac:dyDescent="0.35">
      <c r="A49" s="160">
        <v>43328</v>
      </c>
      <c r="B49" s="162">
        <v>539.24</v>
      </c>
      <c r="C49" s="112" t="s">
        <v>186</v>
      </c>
      <c r="D49" s="112" t="s">
        <v>178</v>
      </c>
      <c r="E49" s="113" t="s">
        <v>288</v>
      </c>
      <c r="F49" s="1"/>
    </row>
    <row r="50" spans="1:6" s="89" customFormat="1" x14ac:dyDescent="0.35">
      <c r="A50" s="160">
        <v>43328</v>
      </c>
      <c r="B50" s="162">
        <f>49.3+72.09+15.13+27.83+32+89.65</f>
        <v>286</v>
      </c>
      <c r="C50" s="112" t="s">
        <v>186</v>
      </c>
      <c r="D50" s="112" t="s">
        <v>187</v>
      </c>
      <c r="E50" s="113" t="s">
        <v>289</v>
      </c>
      <c r="F50" s="1"/>
    </row>
    <row r="51" spans="1:6" s="166" customFormat="1" x14ac:dyDescent="0.35">
      <c r="A51" s="161"/>
      <c r="B51" s="163"/>
      <c r="C51" s="154"/>
      <c r="D51" s="154"/>
      <c r="E51" s="155"/>
      <c r="F51" s="165"/>
    </row>
    <row r="52" spans="1:6" s="89" customFormat="1" ht="25.5" x14ac:dyDescent="0.35">
      <c r="A52" s="160" t="s">
        <v>188</v>
      </c>
      <c r="B52" s="162">
        <v>409.25</v>
      </c>
      <c r="C52" s="112" t="s">
        <v>374</v>
      </c>
      <c r="D52" s="112" t="s">
        <v>189</v>
      </c>
      <c r="E52" s="113" t="s">
        <v>288</v>
      </c>
      <c r="F52" s="1"/>
    </row>
    <row r="53" spans="1:6" s="89" customFormat="1" ht="25.5" x14ac:dyDescent="0.35">
      <c r="A53" s="160" t="s">
        <v>188</v>
      </c>
      <c r="B53" s="162">
        <v>777.13</v>
      </c>
      <c r="C53" s="112" t="s">
        <v>374</v>
      </c>
      <c r="D53" s="112" t="s">
        <v>172</v>
      </c>
      <c r="E53" s="113" t="s">
        <v>288</v>
      </c>
      <c r="F53" s="1"/>
    </row>
    <row r="54" spans="1:6" s="89" customFormat="1" ht="25.5" x14ac:dyDescent="0.35">
      <c r="A54" s="160" t="s">
        <v>188</v>
      </c>
      <c r="B54" s="162">
        <f>11.3+11.3</f>
        <v>22.6</v>
      </c>
      <c r="C54" s="112" t="s">
        <v>374</v>
      </c>
      <c r="D54" s="112" t="s">
        <v>190</v>
      </c>
      <c r="E54" s="113" t="s">
        <v>288</v>
      </c>
      <c r="F54" s="1"/>
    </row>
    <row r="55" spans="1:6" s="89" customFormat="1" ht="25.5" x14ac:dyDescent="0.35">
      <c r="A55" s="160" t="s">
        <v>188</v>
      </c>
      <c r="B55" s="162">
        <f>77.48+24.96+22.78+14.69+18.35+11.48+70.35+33.04</f>
        <v>273.13</v>
      </c>
      <c r="C55" s="112" t="s">
        <v>374</v>
      </c>
      <c r="D55" s="112" t="s">
        <v>191</v>
      </c>
      <c r="E55" s="113" t="s">
        <v>288</v>
      </c>
      <c r="F55" s="1"/>
    </row>
    <row r="56" spans="1:6" s="89" customFormat="1" ht="25.5" x14ac:dyDescent="0.35">
      <c r="A56" s="160" t="s">
        <v>188</v>
      </c>
      <c r="B56" s="162">
        <v>70.430000000000007</v>
      </c>
      <c r="C56" s="112" t="s">
        <v>374</v>
      </c>
      <c r="D56" s="112" t="s">
        <v>192</v>
      </c>
      <c r="E56" s="113" t="s">
        <v>288</v>
      </c>
      <c r="F56" s="1"/>
    </row>
    <row r="57" spans="1:6" s="166" customFormat="1" x14ac:dyDescent="0.35">
      <c r="A57" s="161"/>
      <c r="B57" s="163"/>
      <c r="C57" s="154"/>
      <c r="D57" s="154"/>
      <c r="E57" s="155"/>
      <c r="F57" s="165"/>
    </row>
    <row r="58" spans="1:6" s="89" customFormat="1" x14ac:dyDescent="0.35">
      <c r="A58" s="160">
        <v>43335</v>
      </c>
      <c r="B58" s="162">
        <v>453.63</v>
      </c>
      <c r="C58" s="112" t="s">
        <v>193</v>
      </c>
      <c r="D58" s="112" t="s">
        <v>178</v>
      </c>
      <c r="E58" s="113" t="s">
        <v>288</v>
      </c>
      <c r="F58" s="1"/>
    </row>
    <row r="59" spans="1:6" s="89" customFormat="1" x14ac:dyDescent="0.35">
      <c r="A59" s="160">
        <v>43335</v>
      </c>
      <c r="B59" s="162">
        <f>46.43+76.09+67.56+41.22+10.69</f>
        <v>241.99</v>
      </c>
      <c r="C59" s="112" t="s">
        <v>193</v>
      </c>
      <c r="D59" s="112" t="s">
        <v>187</v>
      </c>
      <c r="E59" s="113" t="s">
        <v>288</v>
      </c>
      <c r="F59" s="1"/>
    </row>
    <row r="60" spans="1:6" s="89" customFormat="1" x14ac:dyDescent="0.35">
      <c r="A60" s="160">
        <v>43335</v>
      </c>
      <c r="B60" s="162">
        <v>11.3</v>
      </c>
      <c r="C60" s="112" t="s">
        <v>193</v>
      </c>
      <c r="D60" s="112" t="s">
        <v>194</v>
      </c>
      <c r="E60" s="113" t="s">
        <v>288</v>
      </c>
      <c r="F60" s="1"/>
    </row>
    <row r="61" spans="1:6" s="166" customFormat="1" x14ac:dyDescent="0.35">
      <c r="A61" s="161"/>
      <c r="B61" s="163"/>
      <c r="C61" s="154"/>
      <c r="D61" s="154"/>
      <c r="E61" s="155"/>
      <c r="F61" s="165"/>
    </row>
    <row r="62" spans="1:6" s="89" customFormat="1" x14ac:dyDescent="0.35">
      <c r="A62" s="160" t="s">
        <v>195</v>
      </c>
      <c r="B62" s="162">
        <f>541.47+6+15</f>
        <v>562.47</v>
      </c>
      <c r="C62" s="112" t="s">
        <v>196</v>
      </c>
      <c r="D62" s="112" t="s">
        <v>178</v>
      </c>
      <c r="E62" s="113" t="s">
        <v>288</v>
      </c>
      <c r="F62" s="1"/>
    </row>
    <row r="63" spans="1:6" s="89" customFormat="1" x14ac:dyDescent="0.35">
      <c r="A63" s="160" t="s">
        <v>195</v>
      </c>
      <c r="B63" s="162">
        <f>225.22+5</f>
        <v>230.22</v>
      </c>
      <c r="C63" s="112" t="s">
        <v>196</v>
      </c>
      <c r="D63" s="112" t="s">
        <v>172</v>
      </c>
      <c r="E63" s="113" t="s">
        <v>288</v>
      </c>
      <c r="F63" s="1"/>
    </row>
    <row r="64" spans="1:6" s="89" customFormat="1" x14ac:dyDescent="0.35">
      <c r="A64" s="160" t="s">
        <v>195</v>
      </c>
      <c r="B64" s="162">
        <v>23.91</v>
      </c>
      <c r="C64" s="112" t="s">
        <v>196</v>
      </c>
      <c r="D64" s="112" t="s">
        <v>174</v>
      </c>
      <c r="E64" s="113" t="s">
        <v>288</v>
      </c>
      <c r="F64" s="1"/>
    </row>
    <row r="65" spans="1:6" s="89" customFormat="1" x14ac:dyDescent="0.35">
      <c r="A65" s="160" t="s">
        <v>195</v>
      </c>
      <c r="B65" s="162">
        <v>75.56</v>
      </c>
      <c r="C65" s="112" t="s">
        <v>196</v>
      </c>
      <c r="D65" s="112" t="s">
        <v>197</v>
      </c>
      <c r="E65" s="113" t="s">
        <v>288</v>
      </c>
      <c r="F65" s="1"/>
    </row>
    <row r="66" spans="1:6" s="89" customFormat="1" x14ac:dyDescent="0.35">
      <c r="A66" s="160" t="s">
        <v>195</v>
      </c>
      <c r="B66" s="162">
        <v>29.56</v>
      </c>
      <c r="C66" s="112" t="s">
        <v>196</v>
      </c>
      <c r="D66" s="112" t="s">
        <v>198</v>
      </c>
      <c r="E66" s="113" t="s">
        <v>251</v>
      </c>
      <c r="F66" s="1"/>
    </row>
    <row r="67" spans="1:6" s="166" customFormat="1" x14ac:dyDescent="0.35">
      <c r="A67" s="161"/>
      <c r="B67" s="163"/>
      <c r="C67" s="154"/>
      <c r="D67" s="154"/>
      <c r="E67" s="155"/>
      <c r="F67" s="165"/>
    </row>
    <row r="68" spans="1:6" s="89" customFormat="1" x14ac:dyDescent="0.35">
      <c r="A68" s="160">
        <v>43339</v>
      </c>
      <c r="B68" s="162">
        <v>459.67</v>
      </c>
      <c r="C68" s="112" t="s">
        <v>199</v>
      </c>
      <c r="D68" s="112" t="s">
        <v>178</v>
      </c>
      <c r="E68" s="113" t="s">
        <v>288</v>
      </c>
      <c r="F68" s="1"/>
    </row>
    <row r="69" spans="1:6" s="89" customFormat="1" x14ac:dyDescent="0.35">
      <c r="A69" s="160">
        <v>43339</v>
      </c>
      <c r="B69" s="162">
        <v>173.91</v>
      </c>
      <c r="C69" s="112" t="s">
        <v>199</v>
      </c>
      <c r="D69" s="112" t="s">
        <v>352</v>
      </c>
      <c r="E69" s="113" t="s">
        <v>288</v>
      </c>
      <c r="F69" s="165"/>
    </row>
    <row r="70" spans="1:6" s="166" customFormat="1" x14ac:dyDescent="0.35">
      <c r="A70" s="161"/>
      <c r="B70" s="163"/>
      <c r="C70" s="154"/>
      <c r="D70" s="154"/>
      <c r="E70" s="155"/>
      <c r="F70" s="165"/>
    </row>
    <row r="71" spans="1:6" s="89" customFormat="1" x14ac:dyDescent="0.35">
      <c r="A71" s="160">
        <v>43353</v>
      </c>
      <c r="B71" s="162">
        <v>497.04</v>
      </c>
      <c r="C71" s="112" t="s">
        <v>359</v>
      </c>
      <c r="D71" s="112" t="s">
        <v>178</v>
      </c>
      <c r="E71" s="113" t="s">
        <v>291</v>
      </c>
      <c r="F71" s="1"/>
    </row>
    <row r="72" spans="1:6" s="89" customFormat="1" x14ac:dyDescent="0.35">
      <c r="A72" s="160">
        <v>43353</v>
      </c>
      <c r="B72" s="162">
        <f>48.61+55.22+86.96+31.13</f>
        <v>221.92</v>
      </c>
      <c r="C72" s="112" t="s">
        <v>359</v>
      </c>
      <c r="D72" s="112" t="s">
        <v>179</v>
      </c>
      <c r="E72" s="113" t="s">
        <v>291</v>
      </c>
      <c r="F72" s="165"/>
    </row>
    <row r="73" spans="1:6" s="166" customFormat="1" x14ac:dyDescent="0.35">
      <c r="A73" s="161"/>
      <c r="B73" s="163"/>
      <c r="C73" s="154"/>
      <c r="D73" s="154"/>
      <c r="E73" s="155"/>
      <c r="F73" s="165"/>
    </row>
    <row r="74" spans="1:6" s="89" customFormat="1" x14ac:dyDescent="0.35">
      <c r="A74" s="160">
        <v>43357</v>
      </c>
      <c r="B74" s="162">
        <v>658.52</v>
      </c>
      <c r="C74" s="112" t="s">
        <v>200</v>
      </c>
      <c r="D74" s="112" t="s">
        <v>178</v>
      </c>
      <c r="E74" s="113" t="s">
        <v>292</v>
      </c>
      <c r="F74" s="1"/>
    </row>
    <row r="75" spans="1:6" s="89" customFormat="1" x14ac:dyDescent="0.35">
      <c r="A75" s="160">
        <v>43357</v>
      </c>
      <c r="B75" s="162">
        <v>136.09</v>
      </c>
      <c r="C75" s="112" t="s">
        <v>200</v>
      </c>
      <c r="D75" s="112" t="s">
        <v>173</v>
      </c>
      <c r="E75" s="113" t="s">
        <v>292</v>
      </c>
      <c r="F75" s="165"/>
    </row>
    <row r="76" spans="1:6" s="89" customFormat="1" x14ac:dyDescent="0.35">
      <c r="A76" s="160">
        <v>43357</v>
      </c>
      <c r="B76" s="162">
        <v>29.56</v>
      </c>
      <c r="C76" s="112" t="s">
        <v>200</v>
      </c>
      <c r="D76" s="112" t="s">
        <v>201</v>
      </c>
      <c r="E76" s="113" t="s">
        <v>251</v>
      </c>
      <c r="F76" s="1"/>
    </row>
    <row r="77" spans="1:6" s="166" customFormat="1" x14ac:dyDescent="0.35">
      <c r="A77" s="161"/>
      <c r="B77" s="163"/>
      <c r="C77" s="154"/>
      <c r="D77" s="154"/>
      <c r="E77" s="155"/>
      <c r="F77" s="165"/>
    </row>
    <row r="78" spans="1:6" s="89" customFormat="1" x14ac:dyDescent="0.35">
      <c r="A78" s="160" t="s">
        <v>202</v>
      </c>
      <c r="B78" s="162">
        <v>389.94</v>
      </c>
      <c r="C78" s="112" t="s">
        <v>203</v>
      </c>
      <c r="D78" s="112" t="s">
        <v>204</v>
      </c>
      <c r="E78" s="113" t="s">
        <v>293</v>
      </c>
      <c r="F78" s="1"/>
    </row>
    <row r="79" spans="1:6" s="89" customFormat="1" x14ac:dyDescent="0.35">
      <c r="A79" s="160" t="s">
        <v>202</v>
      </c>
      <c r="B79" s="162">
        <v>212.92</v>
      </c>
      <c r="C79" s="112" t="s">
        <v>203</v>
      </c>
      <c r="D79" s="112" t="s">
        <v>181</v>
      </c>
      <c r="E79" s="113" t="s">
        <v>293</v>
      </c>
      <c r="F79" s="1"/>
    </row>
    <row r="80" spans="1:6" s="89" customFormat="1" x14ac:dyDescent="0.35">
      <c r="A80" s="160" t="s">
        <v>202</v>
      </c>
      <c r="B80" s="162">
        <v>45.01</v>
      </c>
      <c r="C80" s="112" t="s">
        <v>203</v>
      </c>
      <c r="D80" s="112" t="s">
        <v>205</v>
      </c>
      <c r="E80" s="113" t="s">
        <v>293</v>
      </c>
      <c r="F80" s="1"/>
    </row>
    <row r="81" spans="1:6" s="89" customFormat="1" x14ac:dyDescent="0.35">
      <c r="A81" s="160" t="s">
        <v>202</v>
      </c>
      <c r="B81" s="162">
        <f>42.17+2.17+37.04</f>
        <v>81.38</v>
      </c>
      <c r="C81" s="112" t="s">
        <v>203</v>
      </c>
      <c r="D81" s="112" t="s">
        <v>351</v>
      </c>
      <c r="E81" s="113" t="s">
        <v>293</v>
      </c>
      <c r="F81" s="1"/>
    </row>
    <row r="82" spans="1:6" s="89" customFormat="1" x14ac:dyDescent="0.35">
      <c r="A82" s="160" t="s">
        <v>202</v>
      </c>
      <c r="B82" s="162">
        <v>289.91000000000003</v>
      </c>
      <c r="C82" s="112" t="s">
        <v>203</v>
      </c>
      <c r="D82" s="112" t="s">
        <v>206</v>
      </c>
      <c r="E82" s="113" t="s">
        <v>293</v>
      </c>
      <c r="F82" s="1"/>
    </row>
    <row r="83" spans="1:6" s="166" customFormat="1" x14ac:dyDescent="0.35">
      <c r="A83" s="161"/>
      <c r="B83" s="163"/>
      <c r="C83" s="154"/>
      <c r="D83" s="154"/>
      <c r="E83" s="155"/>
      <c r="F83" s="165"/>
    </row>
    <row r="84" spans="1:6" s="89" customFormat="1" x14ac:dyDescent="0.35">
      <c r="A84" s="160" t="s">
        <v>207</v>
      </c>
      <c r="B84" s="162">
        <v>451.42</v>
      </c>
      <c r="C84" s="112" t="s">
        <v>208</v>
      </c>
      <c r="D84" s="112" t="s">
        <v>204</v>
      </c>
      <c r="E84" s="113" t="s">
        <v>294</v>
      </c>
      <c r="F84" s="1"/>
    </row>
    <row r="85" spans="1:6" s="89" customFormat="1" x14ac:dyDescent="0.35">
      <c r="A85" s="160" t="s">
        <v>207</v>
      </c>
      <c r="B85" s="162">
        <v>226</v>
      </c>
      <c r="C85" s="112" t="s">
        <v>208</v>
      </c>
      <c r="D85" s="112" t="s">
        <v>172</v>
      </c>
      <c r="E85" s="113" t="s">
        <v>294</v>
      </c>
      <c r="F85" s="1"/>
    </row>
    <row r="86" spans="1:6" s="89" customFormat="1" x14ac:dyDescent="0.35">
      <c r="A86" s="160" t="s">
        <v>207</v>
      </c>
      <c r="B86" s="162">
        <f>54.26+18+22.52+42.35</f>
        <v>137.13</v>
      </c>
      <c r="C86" s="112" t="s">
        <v>208</v>
      </c>
      <c r="D86" s="112" t="s">
        <v>179</v>
      </c>
      <c r="E86" s="113" t="s">
        <v>294</v>
      </c>
      <c r="F86" s="165"/>
    </row>
    <row r="87" spans="1:6" s="89" customFormat="1" x14ac:dyDescent="0.35">
      <c r="A87" s="160" t="s">
        <v>207</v>
      </c>
      <c r="B87" s="162">
        <v>11.3</v>
      </c>
      <c r="C87" s="112" t="s">
        <v>208</v>
      </c>
      <c r="D87" s="112" t="s">
        <v>174</v>
      </c>
      <c r="E87" s="113" t="s">
        <v>294</v>
      </c>
      <c r="F87" s="1"/>
    </row>
    <row r="88" spans="1:6" s="89" customFormat="1" x14ac:dyDescent="0.35">
      <c r="A88" s="160" t="s">
        <v>207</v>
      </c>
      <c r="B88" s="162">
        <v>59.13</v>
      </c>
      <c r="C88" s="112" t="s">
        <v>208</v>
      </c>
      <c r="D88" s="112" t="s">
        <v>201</v>
      </c>
      <c r="E88" s="113" t="s">
        <v>295</v>
      </c>
      <c r="F88" s="1"/>
    </row>
    <row r="89" spans="1:6" s="166" customFormat="1" x14ac:dyDescent="0.35">
      <c r="A89" s="161"/>
      <c r="B89" s="163"/>
      <c r="C89" s="154"/>
      <c r="D89" s="154"/>
      <c r="E89" s="155"/>
      <c r="F89" s="165"/>
    </row>
    <row r="90" spans="1:6" s="89" customFormat="1" x14ac:dyDescent="0.35">
      <c r="A90" s="160">
        <v>43371</v>
      </c>
      <c r="B90" s="162">
        <v>660.9799999999999</v>
      </c>
      <c r="C90" s="112" t="s">
        <v>209</v>
      </c>
      <c r="D90" s="112" t="s">
        <v>178</v>
      </c>
      <c r="E90" s="113" t="s">
        <v>288</v>
      </c>
      <c r="F90" s="1"/>
    </row>
    <row r="91" spans="1:6" s="89" customFormat="1" x14ac:dyDescent="0.35">
      <c r="A91" s="160">
        <v>43371</v>
      </c>
      <c r="B91" s="162">
        <f>70.17+48.69</f>
        <v>118.86</v>
      </c>
      <c r="C91" s="112" t="s">
        <v>209</v>
      </c>
      <c r="D91" s="112" t="s">
        <v>173</v>
      </c>
      <c r="E91" s="113" t="s">
        <v>288</v>
      </c>
      <c r="F91" s="165"/>
    </row>
    <row r="92" spans="1:6" s="89" customFormat="1" x14ac:dyDescent="0.35">
      <c r="A92" s="160">
        <v>43371</v>
      </c>
      <c r="B92" s="162">
        <v>29.57</v>
      </c>
      <c r="C92" s="112" t="s">
        <v>209</v>
      </c>
      <c r="D92" s="112" t="s">
        <v>201</v>
      </c>
      <c r="E92" s="113" t="s">
        <v>251</v>
      </c>
      <c r="F92" s="1"/>
    </row>
    <row r="93" spans="1:6" s="166" customFormat="1" x14ac:dyDescent="0.35">
      <c r="A93" s="161"/>
      <c r="B93" s="163"/>
      <c r="C93" s="154"/>
      <c r="D93" s="154"/>
      <c r="E93" s="155"/>
      <c r="F93" s="165"/>
    </row>
    <row r="94" spans="1:6" s="89" customFormat="1" ht="14.25" customHeight="1" x14ac:dyDescent="0.35">
      <c r="A94" s="160" t="s">
        <v>210</v>
      </c>
      <c r="B94" s="162">
        <v>404.07</v>
      </c>
      <c r="C94" s="112" t="s">
        <v>211</v>
      </c>
      <c r="D94" s="112" t="s">
        <v>178</v>
      </c>
      <c r="E94" s="113" t="s">
        <v>288</v>
      </c>
      <c r="F94" s="1"/>
    </row>
    <row r="95" spans="1:6" s="89" customFormat="1" ht="14.25" customHeight="1" x14ac:dyDescent="0.35">
      <c r="A95" s="160" t="s">
        <v>210</v>
      </c>
      <c r="B95" s="162">
        <v>472.83</v>
      </c>
      <c r="C95" s="112" t="s">
        <v>211</v>
      </c>
      <c r="D95" s="112" t="s">
        <v>212</v>
      </c>
      <c r="E95" s="113" t="s">
        <v>288</v>
      </c>
      <c r="F95" s="1"/>
    </row>
    <row r="96" spans="1:6" s="89" customFormat="1" ht="15" customHeight="1" x14ac:dyDescent="0.35">
      <c r="A96" s="160" t="s">
        <v>210</v>
      </c>
      <c r="B96" s="162">
        <f>11.3+11.3</f>
        <v>22.6</v>
      </c>
      <c r="C96" s="112" t="s">
        <v>211</v>
      </c>
      <c r="D96" s="112" t="s">
        <v>174</v>
      </c>
      <c r="E96" s="113" t="s">
        <v>288</v>
      </c>
      <c r="F96" s="1"/>
    </row>
    <row r="97" spans="1:6" s="89" customFormat="1" ht="13.5" customHeight="1" x14ac:dyDescent="0.35">
      <c r="A97" s="160" t="s">
        <v>210</v>
      </c>
      <c r="B97" s="162">
        <f>53.83+19.83+16.26+20+46.69</f>
        <v>156.61000000000001</v>
      </c>
      <c r="C97" s="112" t="s">
        <v>211</v>
      </c>
      <c r="D97" s="112" t="s">
        <v>349</v>
      </c>
      <c r="E97" s="113" t="s">
        <v>288</v>
      </c>
      <c r="F97" s="165"/>
    </row>
    <row r="98" spans="1:6" s="89" customFormat="1" ht="12" customHeight="1" x14ac:dyDescent="0.35">
      <c r="A98" s="160" t="s">
        <v>210</v>
      </c>
      <c r="B98" s="162">
        <v>88.7</v>
      </c>
      <c r="C98" s="112" t="s">
        <v>211</v>
      </c>
      <c r="D98" s="112" t="s">
        <v>213</v>
      </c>
      <c r="E98" s="113" t="s">
        <v>251</v>
      </c>
      <c r="F98" s="1"/>
    </row>
    <row r="99" spans="1:6" s="166" customFormat="1" x14ac:dyDescent="0.35">
      <c r="A99" s="161"/>
      <c r="B99" s="163"/>
      <c r="C99" s="154"/>
      <c r="D99" s="154"/>
      <c r="E99" s="155"/>
      <c r="F99" s="165"/>
    </row>
    <row r="100" spans="1:6" s="89" customFormat="1" x14ac:dyDescent="0.35">
      <c r="A100" s="160">
        <v>43381</v>
      </c>
      <c r="B100" s="162">
        <v>426.96</v>
      </c>
      <c r="C100" s="112" t="s">
        <v>214</v>
      </c>
      <c r="D100" s="112" t="s">
        <v>204</v>
      </c>
      <c r="E100" s="113" t="s">
        <v>288</v>
      </c>
      <c r="F100" s="1"/>
    </row>
    <row r="101" spans="1:6" s="89" customFormat="1" x14ac:dyDescent="0.35">
      <c r="A101" s="160">
        <v>43381</v>
      </c>
      <c r="B101" s="162">
        <v>49.66</v>
      </c>
      <c r="C101" s="112" t="s">
        <v>214</v>
      </c>
      <c r="D101" s="112" t="s">
        <v>215</v>
      </c>
      <c r="E101" s="113" t="s">
        <v>288</v>
      </c>
      <c r="F101" s="1"/>
    </row>
    <row r="102" spans="1:6" s="89" customFormat="1" x14ac:dyDescent="0.35">
      <c r="A102" s="160">
        <v>43381</v>
      </c>
      <c r="B102" s="162">
        <f>42.35+34.17</f>
        <v>76.52000000000001</v>
      </c>
      <c r="C102" s="112" t="s">
        <v>214</v>
      </c>
      <c r="D102" s="112" t="s">
        <v>173</v>
      </c>
      <c r="E102" s="113" t="s">
        <v>288</v>
      </c>
      <c r="F102" s="165"/>
    </row>
    <row r="103" spans="1:6" s="166" customFormat="1" x14ac:dyDescent="0.35">
      <c r="A103" s="161"/>
      <c r="B103" s="163"/>
      <c r="C103" s="154"/>
      <c r="D103" s="154"/>
      <c r="E103" s="155"/>
      <c r="F103" s="165"/>
    </row>
    <row r="104" spans="1:6" s="89" customFormat="1" x14ac:dyDescent="0.35">
      <c r="A104" s="160">
        <v>43384</v>
      </c>
      <c r="B104" s="162">
        <v>560.03</v>
      </c>
      <c r="C104" s="112" t="s">
        <v>216</v>
      </c>
      <c r="D104" s="112" t="s">
        <v>204</v>
      </c>
      <c r="E104" s="113" t="s">
        <v>288</v>
      </c>
      <c r="F104" s="1"/>
    </row>
    <row r="105" spans="1:6" s="89" customFormat="1" x14ac:dyDescent="0.35">
      <c r="A105" s="160">
        <v>43384</v>
      </c>
      <c r="B105" s="162">
        <v>128</v>
      </c>
      <c r="C105" s="112" t="s">
        <v>216</v>
      </c>
      <c r="D105" s="112" t="s">
        <v>173</v>
      </c>
      <c r="E105" s="113" t="s">
        <v>288</v>
      </c>
      <c r="F105" s="165"/>
    </row>
    <row r="106" spans="1:6" s="89" customFormat="1" x14ac:dyDescent="0.35">
      <c r="A106" s="160">
        <v>43383</v>
      </c>
      <c r="B106" s="162">
        <v>308.48</v>
      </c>
      <c r="C106" s="112" t="s">
        <v>216</v>
      </c>
      <c r="D106" s="112" t="s">
        <v>172</v>
      </c>
      <c r="E106" s="113" t="s">
        <v>288</v>
      </c>
      <c r="F106" s="1"/>
    </row>
    <row r="107" spans="1:6" s="89" customFormat="1" x14ac:dyDescent="0.35">
      <c r="A107" s="160">
        <v>43383</v>
      </c>
      <c r="B107" s="162">
        <v>29.56</v>
      </c>
      <c r="C107" s="112" t="s">
        <v>216</v>
      </c>
      <c r="D107" s="112" t="s">
        <v>360</v>
      </c>
      <c r="E107" s="113" t="s">
        <v>251</v>
      </c>
      <c r="F107" s="1"/>
    </row>
    <row r="108" spans="1:6" s="166" customFormat="1" x14ac:dyDescent="0.35">
      <c r="A108" s="161"/>
      <c r="B108" s="163"/>
      <c r="C108" s="154"/>
      <c r="D108" s="154"/>
      <c r="E108" s="155"/>
      <c r="F108" s="165"/>
    </row>
    <row r="109" spans="1:6" s="89" customFormat="1" x14ac:dyDescent="0.35">
      <c r="A109" s="160" t="s">
        <v>217</v>
      </c>
      <c r="B109" s="162">
        <f>(559.55+25)</f>
        <v>584.54999999999995</v>
      </c>
      <c r="C109" s="112" t="s">
        <v>364</v>
      </c>
      <c r="D109" s="112" t="s">
        <v>369</v>
      </c>
      <c r="E109" s="113" t="s">
        <v>288</v>
      </c>
      <c r="F109" s="165"/>
    </row>
    <row r="110" spans="1:6" s="89" customFormat="1" x14ac:dyDescent="0.35">
      <c r="A110" s="160" t="s">
        <v>217</v>
      </c>
      <c r="B110" s="162">
        <v>299.39999999999998</v>
      </c>
      <c r="C110" s="112" t="s">
        <v>365</v>
      </c>
      <c r="D110" s="112" t="s">
        <v>172</v>
      </c>
      <c r="E110" s="113" t="s">
        <v>288</v>
      </c>
      <c r="F110" s="1"/>
    </row>
    <row r="111" spans="1:6" s="89" customFormat="1" x14ac:dyDescent="0.35">
      <c r="A111" s="160" t="s">
        <v>217</v>
      </c>
      <c r="B111" s="162">
        <v>74.69</v>
      </c>
      <c r="C111" s="112" t="s">
        <v>366</v>
      </c>
      <c r="D111" s="112" t="s">
        <v>368</v>
      </c>
      <c r="E111" s="113" t="s">
        <v>288</v>
      </c>
      <c r="F111" s="1"/>
    </row>
    <row r="112" spans="1:6" s="89" customFormat="1" x14ac:dyDescent="0.35">
      <c r="A112" s="160" t="s">
        <v>217</v>
      </c>
      <c r="B112" s="162">
        <v>36.260000000000005</v>
      </c>
      <c r="C112" s="112" t="s">
        <v>366</v>
      </c>
      <c r="D112" s="112" t="s">
        <v>174</v>
      </c>
      <c r="E112" s="113" t="s">
        <v>288</v>
      </c>
      <c r="F112" s="1"/>
    </row>
    <row r="113" spans="1:6" s="89" customFormat="1" x14ac:dyDescent="0.35">
      <c r="A113" s="160" t="s">
        <v>217</v>
      </c>
      <c r="B113" s="162">
        <f>(49.22+34.57)</f>
        <v>83.789999999999992</v>
      </c>
      <c r="C113" s="112" t="s">
        <v>367</v>
      </c>
      <c r="D113" s="112" t="s">
        <v>370</v>
      </c>
      <c r="E113" s="113" t="s">
        <v>288</v>
      </c>
      <c r="F113" s="1"/>
    </row>
    <row r="114" spans="1:6" s="166" customFormat="1" x14ac:dyDescent="0.35">
      <c r="A114" s="161"/>
      <c r="B114" s="163"/>
      <c r="C114" s="154"/>
      <c r="D114" s="154"/>
      <c r="E114" s="155"/>
      <c r="F114" s="165"/>
    </row>
    <row r="115" spans="1:6" s="182" customFormat="1" x14ac:dyDescent="0.35">
      <c r="A115" s="160">
        <v>43393</v>
      </c>
      <c r="B115" s="162">
        <f>(6+461.42+15)</f>
        <v>482.42</v>
      </c>
      <c r="C115" s="112" t="s">
        <v>363</v>
      </c>
      <c r="D115" s="112" t="s">
        <v>178</v>
      </c>
      <c r="E115" s="113" t="s">
        <v>288</v>
      </c>
      <c r="F115" s="165"/>
    </row>
    <row r="116" spans="1:6" s="182" customFormat="1" x14ac:dyDescent="0.35">
      <c r="A116" s="160">
        <v>43393</v>
      </c>
      <c r="B116" s="162">
        <v>64.989999999999995</v>
      </c>
      <c r="C116" s="112" t="s">
        <v>363</v>
      </c>
      <c r="D116" s="112" t="s">
        <v>181</v>
      </c>
      <c r="E116" s="113" t="s">
        <v>288</v>
      </c>
      <c r="F116" s="165"/>
    </row>
    <row r="117" spans="1:6" s="166" customFormat="1" x14ac:dyDescent="0.35">
      <c r="A117" s="161"/>
      <c r="B117" s="163"/>
      <c r="C117" s="154"/>
      <c r="D117" s="154"/>
      <c r="E117" s="155"/>
      <c r="F117" s="165"/>
    </row>
    <row r="118" spans="1:6" s="89" customFormat="1" ht="23.25" customHeight="1" x14ac:dyDescent="0.35">
      <c r="A118" s="160" t="s">
        <v>356</v>
      </c>
      <c r="B118" s="162">
        <f>547.45+15+15+15+32.7</f>
        <v>625.15000000000009</v>
      </c>
      <c r="C118" s="112" t="s">
        <v>282</v>
      </c>
      <c r="D118" s="112" t="s">
        <v>204</v>
      </c>
      <c r="E118" s="113" t="s">
        <v>361</v>
      </c>
      <c r="F118" s="1"/>
    </row>
    <row r="119" spans="1:6" s="89" customFormat="1" x14ac:dyDescent="0.35">
      <c r="A119" s="160" t="s">
        <v>356</v>
      </c>
      <c r="B119" s="162">
        <v>152.34</v>
      </c>
      <c r="C119" s="112" t="s">
        <v>219</v>
      </c>
      <c r="D119" s="112" t="s">
        <v>204</v>
      </c>
      <c r="E119" s="113" t="s">
        <v>251</v>
      </c>
      <c r="F119" s="1"/>
    </row>
    <row r="120" spans="1:6" s="89" customFormat="1" ht="22.5" customHeight="1" x14ac:dyDescent="0.35">
      <c r="A120" s="160" t="s">
        <v>356</v>
      </c>
      <c r="B120" s="162">
        <v>161.52000000000001</v>
      </c>
      <c r="C120" s="112" t="s">
        <v>218</v>
      </c>
      <c r="D120" s="112" t="s">
        <v>283</v>
      </c>
      <c r="E120" s="113" t="s">
        <v>296</v>
      </c>
      <c r="F120" s="1"/>
    </row>
    <row r="121" spans="1:6" s="89" customFormat="1" ht="25.5" x14ac:dyDescent="0.35">
      <c r="A121" s="160" t="s">
        <v>356</v>
      </c>
      <c r="B121" s="162">
        <f>69.65+64.87</f>
        <v>134.52000000000001</v>
      </c>
      <c r="C121" s="112" t="s">
        <v>218</v>
      </c>
      <c r="D121" s="112" t="s">
        <v>173</v>
      </c>
      <c r="E121" s="113" t="s">
        <v>294</v>
      </c>
      <c r="F121" s="1"/>
    </row>
    <row r="122" spans="1:6" s="89" customFormat="1" ht="25.5" x14ac:dyDescent="0.35">
      <c r="A122" s="160" t="s">
        <v>356</v>
      </c>
      <c r="B122" s="162">
        <f>130.43+5</f>
        <v>135.43</v>
      </c>
      <c r="C122" s="112" t="s">
        <v>218</v>
      </c>
      <c r="D122" s="112" t="s">
        <v>220</v>
      </c>
      <c r="E122" s="113" t="s">
        <v>297</v>
      </c>
      <c r="F122" s="1"/>
    </row>
    <row r="123" spans="1:6" s="89" customFormat="1" ht="25.5" x14ac:dyDescent="0.35">
      <c r="A123" s="160" t="s">
        <v>356</v>
      </c>
      <c r="B123" s="162">
        <v>15.65</v>
      </c>
      <c r="C123" s="112" t="s">
        <v>218</v>
      </c>
      <c r="D123" s="112" t="s">
        <v>174</v>
      </c>
      <c r="E123" s="113" t="s">
        <v>297</v>
      </c>
      <c r="F123" s="1"/>
    </row>
    <row r="124" spans="1:6" s="89" customFormat="1" ht="25.5" x14ac:dyDescent="0.35">
      <c r="A124" s="160">
        <v>43397</v>
      </c>
      <c r="B124" s="162">
        <f>(29.57+59.13)</f>
        <v>88.7</v>
      </c>
      <c r="C124" s="112" t="s">
        <v>218</v>
      </c>
      <c r="D124" s="112" t="s">
        <v>201</v>
      </c>
      <c r="E124" s="113" t="s">
        <v>251</v>
      </c>
      <c r="F124" s="1"/>
    </row>
    <row r="125" spans="1:6" s="166" customFormat="1" x14ac:dyDescent="0.35">
      <c r="A125" s="161"/>
      <c r="B125" s="163"/>
      <c r="C125" s="154"/>
      <c r="D125" s="154"/>
      <c r="E125" s="155"/>
      <c r="F125" s="165"/>
    </row>
    <row r="126" spans="1:6" s="89" customFormat="1" x14ac:dyDescent="0.35">
      <c r="A126" s="160">
        <v>43426</v>
      </c>
      <c r="B126" s="162">
        <v>103.48</v>
      </c>
      <c r="C126" s="112" t="s">
        <v>221</v>
      </c>
      <c r="D126" s="112" t="s">
        <v>284</v>
      </c>
      <c r="E126" s="113" t="s">
        <v>298</v>
      </c>
      <c r="F126" s="1"/>
    </row>
    <row r="127" spans="1:6" s="166" customFormat="1" x14ac:dyDescent="0.35">
      <c r="A127" s="161"/>
      <c r="B127" s="163"/>
      <c r="C127" s="154"/>
      <c r="D127" s="154"/>
      <c r="E127" s="155"/>
      <c r="F127" s="165"/>
    </row>
    <row r="128" spans="1:6" s="89" customFormat="1" x14ac:dyDescent="0.35">
      <c r="A128" s="160">
        <v>43433</v>
      </c>
      <c r="B128" s="162">
        <v>595.54999999999995</v>
      </c>
      <c r="C128" s="112" t="s">
        <v>222</v>
      </c>
      <c r="D128" s="112" t="s">
        <v>178</v>
      </c>
      <c r="E128" s="113" t="s">
        <v>294</v>
      </c>
      <c r="F128" s="1"/>
    </row>
    <row r="129" spans="1:6" s="89" customFormat="1" x14ac:dyDescent="0.35">
      <c r="A129" s="160">
        <v>43433</v>
      </c>
      <c r="B129" s="162">
        <v>215.44</v>
      </c>
      <c r="C129" s="112" t="s">
        <v>222</v>
      </c>
      <c r="D129" s="112" t="s">
        <v>285</v>
      </c>
      <c r="E129" s="113" t="s">
        <v>294</v>
      </c>
      <c r="F129" s="1"/>
    </row>
    <row r="130" spans="1:6" s="89" customFormat="1" x14ac:dyDescent="0.35">
      <c r="A130" s="160">
        <v>43798</v>
      </c>
      <c r="B130" s="162">
        <f>59.13+8.69</f>
        <v>67.820000000000007</v>
      </c>
      <c r="C130" s="112" t="s">
        <v>222</v>
      </c>
      <c r="D130" s="112" t="s">
        <v>223</v>
      </c>
      <c r="E130" s="113" t="s">
        <v>294</v>
      </c>
      <c r="F130" s="1"/>
    </row>
    <row r="131" spans="1:6" s="89" customFormat="1" x14ac:dyDescent="0.35">
      <c r="A131" s="160">
        <v>43798</v>
      </c>
      <c r="B131" s="162">
        <v>103.17</v>
      </c>
      <c r="C131" s="112" t="s">
        <v>222</v>
      </c>
      <c r="D131" s="112" t="s">
        <v>181</v>
      </c>
      <c r="E131" s="113" t="s">
        <v>294</v>
      </c>
      <c r="F131" s="1"/>
    </row>
    <row r="132" spans="1:6" s="89" customFormat="1" x14ac:dyDescent="0.35">
      <c r="A132" s="160">
        <v>43433</v>
      </c>
      <c r="B132" s="162">
        <v>21.48</v>
      </c>
      <c r="C132" s="112" t="s">
        <v>222</v>
      </c>
      <c r="D132" s="112" t="s">
        <v>194</v>
      </c>
      <c r="E132" s="113" t="s">
        <v>294</v>
      </c>
      <c r="F132" s="1"/>
    </row>
    <row r="133" spans="1:6" s="166" customFormat="1" x14ac:dyDescent="0.35">
      <c r="A133" s="161"/>
      <c r="B133" s="163"/>
      <c r="C133" s="154"/>
      <c r="D133" s="154"/>
      <c r="E133" s="155"/>
      <c r="F133" s="165"/>
    </row>
    <row r="134" spans="1:6" s="89" customFormat="1" x14ac:dyDescent="0.35">
      <c r="A134" s="160">
        <v>43437</v>
      </c>
      <c r="B134" s="162">
        <v>405.43</v>
      </c>
      <c r="C134" s="112" t="s">
        <v>224</v>
      </c>
      <c r="D134" s="112" t="s">
        <v>178</v>
      </c>
      <c r="E134" s="113" t="s">
        <v>288</v>
      </c>
      <c r="F134" s="1"/>
    </row>
    <row r="135" spans="1:6" s="89" customFormat="1" x14ac:dyDescent="0.35">
      <c r="A135" s="160">
        <v>43437</v>
      </c>
      <c r="B135" s="162">
        <v>218.04</v>
      </c>
      <c r="C135" s="112" t="s">
        <v>224</v>
      </c>
      <c r="D135" s="112" t="s">
        <v>172</v>
      </c>
      <c r="E135" s="113" t="s">
        <v>288</v>
      </c>
      <c r="F135" s="1"/>
    </row>
    <row r="136" spans="1:6" s="89" customFormat="1" x14ac:dyDescent="0.35">
      <c r="A136" s="160">
        <v>43437</v>
      </c>
      <c r="B136" s="162">
        <f>35.48+81.74+39.83+68.96</f>
        <v>226.01</v>
      </c>
      <c r="C136" s="112" t="s">
        <v>224</v>
      </c>
      <c r="D136" s="112" t="s">
        <v>179</v>
      </c>
      <c r="E136" s="113" t="s">
        <v>288</v>
      </c>
      <c r="F136" s="165"/>
    </row>
    <row r="137" spans="1:6" s="166" customFormat="1" x14ac:dyDescent="0.35">
      <c r="A137" s="161"/>
      <c r="B137" s="163"/>
      <c r="C137" s="154"/>
      <c r="D137" s="154"/>
      <c r="E137" s="155"/>
      <c r="F137" s="165"/>
    </row>
    <row r="138" spans="1:6" s="89" customFormat="1" x14ac:dyDescent="0.35">
      <c r="A138" s="160">
        <v>43439</v>
      </c>
      <c r="B138" s="162">
        <v>540.09</v>
      </c>
      <c r="C138" s="112" t="s">
        <v>225</v>
      </c>
      <c r="D138" s="112" t="s">
        <v>178</v>
      </c>
      <c r="E138" s="113" t="s">
        <v>288</v>
      </c>
      <c r="F138" s="1"/>
    </row>
    <row r="139" spans="1:6" s="89" customFormat="1" x14ac:dyDescent="0.35">
      <c r="A139" s="160">
        <v>43439</v>
      </c>
      <c r="B139" s="162">
        <v>160.74</v>
      </c>
      <c r="C139" s="112" t="s">
        <v>225</v>
      </c>
      <c r="D139" s="112" t="s">
        <v>172</v>
      </c>
      <c r="E139" s="113" t="s">
        <v>288</v>
      </c>
      <c r="F139" s="1"/>
    </row>
    <row r="140" spans="1:6" s="89" customFormat="1" x14ac:dyDescent="0.35">
      <c r="A140" s="160">
        <v>43439</v>
      </c>
      <c r="B140" s="162">
        <v>177.3</v>
      </c>
      <c r="C140" s="112" t="s">
        <v>225</v>
      </c>
      <c r="D140" s="112" t="s">
        <v>179</v>
      </c>
      <c r="E140" s="113" t="s">
        <v>288</v>
      </c>
      <c r="F140" s="165"/>
    </row>
    <row r="141" spans="1:6" s="166" customFormat="1" x14ac:dyDescent="0.35">
      <c r="A141" s="161"/>
      <c r="B141" s="163"/>
      <c r="C141" s="154"/>
      <c r="D141" s="154"/>
      <c r="E141" s="155"/>
      <c r="F141" s="165"/>
    </row>
    <row r="142" spans="1:6" s="89" customFormat="1" x14ac:dyDescent="0.35">
      <c r="A142" s="160">
        <v>43444</v>
      </c>
      <c r="B142" s="162">
        <v>277.52</v>
      </c>
      <c r="C142" s="112" t="s">
        <v>226</v>
      </c>
      <c r="D142" s="112" t="s">
        <v>178</v>
      </c>
      <c r="E142" s="113" t="s">
        <v>288</v>
      </c>
      <c r="F142" s="1"/>
    </row>
    <row r="143" spans="1:6" s="89" customFormat="1" x14ac:dyDescent="0.35">
      <c r="A143" s="160">
        <v>43444</v>
      </c>
      <c r="B143" s="162">
        <v>54.73</v>
      </c>
      <c r="C143" s="112" t="s">
        <v>226</v>
      </c>
      <c r="D143" s="112" t="s">
        <v>215</v>
      </c>
      <c r="E143" s="113" t="s">
        <v>288</v>
      </c>
      <c r="F143" s="1"/>
    </row>
    <row r="144" spans="1:6" s="89" customFormat="1" x14ac:dyDescent="0.35">
      <c r="A144" s="160">
        <v>43444</v>
      </c>
      <c r="B144" s="162">
        <v>29.56</v>
      </c>
      <c r="C144" s="112" t="s">
        <v>226</v>
      </c>
      <c r="D144" s="112" t="s">
        <v>198</v>
      </c>
      <c r="E144" s="113" t="s">
        <v>288</v>
      </c>
      <c r="F144" s="1"/>
    </row>
    <row r="145" spans="1:6" s="166" customFormat="1" x14ac:dyDescent="0.35">
      <c r="A145" s="161"/>
      <c r="B145" s="163"/>
      <c r="C145" s="154"/>
      <c r="D145" s="154"/>
      <c r="E145" s="155"/>
      <c r="F145" s="165"/>
    </row>
    <row r="146" spans="1:6" s="89" customFormat="1" x14ac:dyDescent="0.35">
      <c r="A146" s="160">
        <v>43448</v>
      </c>
      <c r="B146" s="162">
        <v>450.57</v>
      </c>
      <c r="C146" s="112" t="s">
        <v>227</v>
      </c>
      <c r="D146" s="112" t="s">
        <v>178</v>
      </c>
      <c r="E146" s="113" t="s">
        <v>299</v>
      </c>
      <c r="F146" s="1"/>
    </row>
    <row r="147" spans="1:6" s="89" customFormat="1" x14ac:dyDescent="0.35">
      <c r="A147" s="160">
        <v>43448</v>
      </c>
      <c r="B147" s="162">
        <v>112.41</v>
      </c>
      <c r="C147" s="112" t="s">
        <v>227</v>
      </c>
      <c r="D147" s="112" t="s">
        <v>181</v>
      </c>
      <c r="E147" s="113" t="s">
        <v>299</v>
      </c>
      <c r="F147" s="1"/>
    </row>
    <row r="148" spans="1:6" s="89" customFormat="1" x14ac:dyDescent="0.35">
      <c r="A148" s="160">
        <v>43813</v>
      </c>
      <c r="B148" s="162">
        <v>18.690000000000001</v>
      </c>
      <c r="C148" s="112" t="s">
        <v>227</v>
      </c>
      <c r="D148" s="112" t="s">
        <v>194</v>
      </c>
      <c r="E148" s="113" t="s">
        <v>299</v>
      </c>
      <c r="F148" s="1"/>
    </row>
    <row r="149" spans="1:6" s="89" customFormat="1" x14ac:dyDescent="0.35">
      <c r="A149" s="160">
        <v>43813</v>
      </c>
      <c r="B149" s="162">
        <v>29.57</v>
      </c>
      <c r="C149" s="112" t="s">
        <v>227</v>
      </c>
      <c r="D149" s="112" t="s">
        <v>360</v>
      </c>
      <c r="E149" s="113" t="s">
        <v>299</v>
      </c>
      <c r="F149" s="1"/>
    </row>
    <row r="150" spans="1:6" s="166" customFormat="1" x14ac:dyDescent="0.35">
      <c r="A150" s="161"/>
      <c r="B150" s="163"/>
      <c r="C150" s="154"/>
      <c r="D150" s="154"/>
      <c r="E150" s="155"/>
      <c r="F150" s="165"/>
    </row>
    <row r="151" spans="1:6" s="166" customFormat="1" ht="15" customHeight="1" x14ac:dyDescent="0.35">
      <c r="A151" s="160">
        <v>43481</v>
      </c>
      <c r="B151" s="162">
        <v>29.57</v>
      </c>
      <c r="C151" s="112" t="s">
        <v>350</v>
      </c>
      <c r="D151" s="112" t="s">
        <v>360</v>
      </c>
      <c r="E151" s="113" t="s">
        <v>251</v>
      </c>
      <c r="F151" s="165"/>
    </row>
    <row r="152" spans="1:6" s="166" customFormat="1" x14ac:dyDescent="0.35">
      <c r="A152" s="161"/>
      <c r="B152" s="163"/>
      <c r="C152" s="154"/>
      <c r="D152" s="154"/>
      <c r="E152" s="155"/>
      <c r="F152" s="165"/>
    </row>
    <row r="153" spans="1:6" s="89" customFormat="1" x14ac:dyDescent="0.35">
      <c r="A153" s="160">
        <v>43492</v>
      </c>
      <c r="B153" s="162">
        <f>6+44.66+5</f>
        <v>55.66</v>
      </c>
      <c r="C153" s="112" t="s">
        <v>286</v>
      </c>
      <c r="D153" s="112" t="s">
        <v>181</v>
      </c>
      <c r="E153" s="113" t="s">
        <v>288</v>
      </c>
      <c r="F153" s="1"/>
    </row>
    <row r="154" spans="1:6" s="89" customFormat="1" x14ac:dyDescent="0.35">
      <c r="A154" s="160"/>
      <c r="B154" s="162">
        <v>29.57</v>
      </c>
      <c r="C154" s="112" t="s">
        <v>286</v>
      </c>
      <c r="D154" s="112" t="s">
        <v>201</v>
      </c>
      <c r="E154" s="113"/>
      <c r="F154" s="1"/>
    </row>
    <row r="155" spans="1:6" s="89" customFormat="1" x14ac:dyDescent="0.35">
      <c r="A155" s="161"/>
      <c r="B155" s="163"/>
      <c r="C155" s="154"/>
      <c r="D155" s="154"/>
      <c r="E155" s="155"/>
      <c r="F155" s="1"/>
    </row>
    <row r="156" spans="1:6" s="89" customFormat="1" x14ac:dyDescent="0.35">
      <c r="A156" s="160">
        <v>43496</v>
      </c>
      <c r="B156" s="162">
        <f>651.66+6</f>
        <v>657.66</v>
      </c>
      <c r="C156" s="112" t="s">
        <v>228</v>
      </c>
      <c r="D156" s="112" t="s">
        <v>178</v>
      </c>
      <c r="E156" s="113" t="s">
        <v>294</v>
      </c>
      <c r="F156" s="1"/>
    </row>
    <row r="157" spans="1:6" s="89" customFormat="1" x14ac:dyDescent="0.35">
      <c r="A157" s="160">
        <v>43496</v>
      </c>
      <c r="B157" s="162">
        <f>55.35+5</f>
        <v>60.35</v>
      </c>
      <c r="C157" s="112" t="s">
        <v>228</v>
      </c>
      <c r="D157" s="112" t="s">
        <v>181</v>
      </c>
      <c r="E157" s="113" t="s">
        <v>288</v>
      </c>
      <c r="F157" s="1"/>
    </row>
    <row r="158" spans="1:6" s="89" customFormat="1" x14ac:dyDescent="0.35">
      <c r="A158" s="160">
        <v>43496</v>
      </c>
      <c r="B158" s="162">
        <v>3.48</v>
      </c>
      <c r="C158" s="112" t="s">
        <v>228</v>
      </c>
      <c r="D158" s="112" t="s">
        <v>223</v>
      </c>
      <c r="E158" s="113" t="s">
        <v>288</v>
      </c>
      <c r="F158" s="1"/>
    </row>
    <row r="159" spans="1:6" s="89" customFormat="1" x14ac:dyDescent="0.35">
      <c r="A159" s="160">
        <v>43496</v>
      </c>
      <c r="B159" s="162">
        <v>29.56</v>
      </c>
      <c r="C159" s="112" t="s">
        <v>228</v>
      </c>
      <c r="D159" s="112" t="s">
        <v>360</v>
      </c>
      <c r="E159" s="113" t="s">
        <v>288</v>
      </c>
      <c r="F159" s="1"/>
    </row>
    <row r="160" spans="1:6" s="89" customFormat="1" x14ac:dyDescent="0.35">
      <c r="A160" s="161"/>
      <c r="B160" s="163"/>
      <c r="C160" s="154"/>
      <c r="D160" s="154"/>
      <c r="E160" s="155"/>
      <c r="F160" s="1"/>
    </row>
    <row r="161" spans="1:6" s="89" customFormat="1" x14ac:dyDescent="0.35">
      <c r="A161" s="160">
        <v>43501</v>
      </c>
      <c r="B161" s="162">
        <f>6+463.13+121.39+15</f>
        <v>605.52</v>
      </c>
      <c r="C161" s="112" t="s">
        <v>229</v>
      </c>
      <c r="D161" s="112" t="s">
        <v>178</v>
      </c>
      <c r="E161" s="113" t="s">
        <v>294</v>
      </c>
      <c r="F161" s="165"/>
    </row>
    <row r="162" spans="1:6" s="89" customFormat="1" x14ac:dyDescent="0.35">
      <c r="A162" s="160">
        <v>43501</v>
      </c>
      <c r="B162" s="162">
        <f>55.1+5</f>
        <v>60.1</v>
      </c>
      <c r="C162" s="112" t="s">
        <v>229</v>
      </c>
      <c r="D162" s="112" t="s">
        <v>181</v>
      </c>
      <c r="E162" s="113" t="s">
        <v>294</v>
      </c>
      <c r="F162" s="1"/>
    </row>
    <row r="163" spans="1:6" s="89" customFormat="1" x14ac:dyDescent="0.35">
      <c r="A163" s="160">
        <v>43501</v>
      </c>
      <c r="B163" s="162">
        <v>13.57</v>
      </c>
      <c r="C163" s="112" t="s">
        <v>229</v>
      </c>
      <c r="D163" s="112" t="s">
        <v>223</v>
      </c>
      <c r="E163" s="113" t="s">
        <v>294</v>
      </c>
      <c r="F163" s="1"/>
    </row>
    <row r="164" spans="1:6" s="89" customFormat="1" x14ac:dyDescent="0.35">
      <c r="A164" s="160">
        <v>43501</v>
      </c>
      <c r="B164" s="162">
        <v>58.52</v>
      </c>
      <c r="C164" s="112" t="s">
        <v>229</v>
      </c>
      <c r="D164" s="112" t="s">
        <v>238</v>
      </c>
      <c r="E164" s="113" t="s">
        <v>362</v>
      </c>
      <c r="F164" s="165"/>
    </row>
    <row r="165" spans="1:6" s="89" customFormat="1" x14ac:dyDescent="0.35">
      <c r="A165" s="161"/>
      <c r="B165" s="163"/>
      <c r="C165" s="154"/>
      <c r="D165" s="154"/>
      <c r="E165" s="155"/>
      <c r="F165" s="1"/>
    </row>
    <row r="166" spans="1:6" s="89" customFormat="1" x14ac:dyDescent="0.35">
      <c r="A166" s="160">
        <v>43509</v>
      </c>
      <c r="B166" s="162">
        <f>6+415.78</f>
        <v>421.78</v>
      </c>
      <c r="C166" s="112" t="s">
        <v>230</v>
      </c>
      <c r="D166" s="112" t="s">
        <v>178</v>
      </c>
      <c r="E166" s="113" t="s">
        <v>288</v>
      </c>
      <c r="F166" s="1"/>
    </row>
    <row r="167" spans="1:6" s="89" customFormat="1" x14ac:dyDescent="0.35">
      <c r="A167" s="160">
        <v>43509</v>
      </c>
      <c r="B167" s="162">
        <f>5+55.71</f>
        <v>60.71</v>
      </c>
      <c r="C167" s="112" t="s">
        <v>230</v>
      </c>
      <c r="D167" s="112" t="s">
        <v>181</v>
      </c>
      <c r="E167" s="113" t="s">
        <v>288</v>
      </c>
      <c r="F167" s="1"/>
    </row>
    <row r="168" spans="1:6" s="89" customFormat="1" x14ac:dyDescent="0.35">
      <c r="A168" s="160">
        <v>43509</v>
      </c>
      <c r="B168" s="162">
        <v>1.74</v>
      </c>
      <c r="C168" s="112" t="s">
        <v>230</v>
      </c>
      <c r="D168" s="112" t="s">
        <v>319</v>
      </c>
      <c r="E168" s="113" t="s">
        <v>288</v>
      </c>
      <c r="F168" s="1"/>
    </row>
    <row r="169" spans="1:6" s="89" customFormat="1" x14ac:dyDescent="0.35">
      <c r="A169" s="161"/>
      <c r="B169" s="163"/>
      <c r="C169" s="154"/>
      <c r="D169" s="154"/>
      <c r="E169" s="155"/>
      <c r="F169" s="1"/>
    </row>
    <row r="170" spans="1:6" s="89" customFormat="1" x14ac:dyDescent="0.35">
      <c r="A170" s="160" t="s">
        <v>231</v>
      </c>
      <c r="B170" s="162">
        <f>19+106.09+267.72+15+15+312.49</f>
        <v>735.30000000000007</v>
      </c>
      <c r="C170" s="112" t="s">
        <v>232</v>
      </c>
      <c r="D170" s="112" t="s">
        <v>178</v>
      </c>
      <c r="E170" s="113" t="s">
        <v>300</v>
      </c>
      <c r="F170" s="165"/>
    </row>
    <row r="171" spans="1:6" s="89" customFormat="1" x14ac:dyDescent="0.35">
      <c r="A171" s="160" t="s">
        <v>231</v>
      </c>
      <c r="B171" s="162">
        <f>44.66+5</f>
        <v>49.66</v>
      </c>
      <c r="C171" s="112" t="s">
        <v>232</v>
      </c>
      <c r="D171" s="112" t="s">
        <v>181</v>
      </c>
      <c r="E171" s="113" t="s">
        <v>300</v>
      </c>
      <c r="F171" s="1"/>
    </row>
    <row r="172" spans="1:6" s="89" customFormat="1" x14ac:dyDescent="0.35">
      <c r="A172" s="160" t="s">
        <v>231</v>
      </c>
      <c r="B172" s="162">
        <f>134.78+5</f>
        <v>139.78</v>
      </c>
      <c r="C172" s="112" t="s">
        <v>232</v>
      </c>
      <c r="D172" s="112" t="s">
        <v>172</v>
      </c>
      <c r="E172" s="113" t="s">
        <v>300</v>
      </c>
      <c r="F172" s="1"/>
    </row>
    <row r="173" spans="1:6" s="89" customFormat="1" x14ac:dyDescent="0.35">
      <c r="A173" s="161"/>
      <c r="B173" s="163"/>
      <c r="C173" s="154"/>
      <c r="D173" s="154"/>
      <c r="E173" s="155"/>
      <c r="F173" s="1"/>
    </row>
    <row r="174" spans="1:6" s="89" customFormat="1" x14ac:dyDescent="0.35">
      <c r="A174" s="160" t="s">
        <v>233</v>
      </c>
      <c r="B174" s="162">
        <f>195.13+25+15+5+195.13</f>
        <v>435.26</v>
      </c>
      <c r="C174" s="112" t="s">
        <v>234</v>
      </c>
      <c r="D174" s="112" t="s">
        <v>178</v>
      </c>
      <c r="E174" s="113" t="s">
        <v>301</v>
      </c>
      <c r="F174" s="1"/>
    </row>
    <row r="175" spans="1:6" s="89" customFormat="1" x14ac:dyDescent="0.35">
      <c r="A175" s="161"/>
      <c r="B175" s="163"/>
      <c r="C175" s="154"/>
      <c r="D175" s="154"/>
      <c r="E175" s="155"/>
      <c r="F175" s="1"/>
    </row>
    <row r="176" spans="1:6" s="89" customFormat="1" x14ac:dyDescent="0.35">
      <c r="A176" s="160" t="s">
        <v>235</v>
      </c>
      <c r="B176" s="162">
        <v>360.66</v>
      </c>
      <c r="C176" s="112" t="s">
        <v>236</v>
      </c>
      <c r="D176" s="112" t="s">
        <v>178</v>
      </c>
      <c r="E176" s="113" t="s">
        <v>288</v>
      </c>
      <c r="F176" s="1"/>
    </row>
    <row r="177" spans="1:6" s="89" customFormat="1" x14ac:dyDescent="0.35">
      <c r="A177" s="160" t="s">
        <v>235</v>
      </c>
      <c r="B177" s="162">
        <f>336.52+5</f>
        <v>341.52</v>
      </c>
      <c r="C177" s="112" t="s">
        <v>236</v>
      </c>
      <c r="D177" s="112" t="s">
        <v>172</v>
      </c>
      <c r="E177" s="113" t="s">
        <v>288</v>
      </c>
      <c r="F177" s="1"/>
    </row>
    <row r="178" spans="1:6" s="89" customFormat="1" x14ac:dyDescent="0.35">
      <c r="A178" s="160" t="s">
        <v>235</v>
      </c>
      <c r="B178" s="162">
        <v>11.3</v>
      </c>
      <c r="C178" s="112" t="s">
        <v>236</v>
      </c>
      <c r="D178" s="112" t="s">
        <v>174</v>
      </c>
      <c r="E178" s="113" t="s">
        <v>288</v>
      </c>
      <c r="F178" s="163"/>
    </row>
    <row r="179" spans="1:6" s="89" customFormat="1" x14ac:dyDescent="0.35">
      <c r="A179" s="160" t="s">
        <v>235</v>
      </c>
      <c r="B179" s="162">
        <f>21.74+14.43+13.83+8.7</f>
        <v>58.7</v>
      </c>
      <c r="C179" s="112" t="s">
        <v>236</v>
      </c>
      <c r="D179" s="112" t="s">
        <v>179</v>
      </c>
      <c r="E179" s="113" t="s">
        <v>288</v>
      </c>
      <c r="F179" s="163"/>
    </row>
    <row r="180" spans="1:6" s="89" customFormat="1" x14ac:dyDescent="0.35">
      <c r="A180" s="160" t="s">
        <v>235</v>
      </c>
      <c r="B180" s="162">
        <v>13.56</v>
      </c>
      <c r="C180" s="112" t="s">
        <v>236</v>
      </c>
      <c r="D180" s="112" t="s">
        <v>223</v>
      </c>
      <c r="E180" s="113" t="s">
        <v>288</v>
      </c>
      <c r="F180" s="163"/>
    </row>
    <row r="181" spans="1:6" s="89" customFormat="1" x14ac:dyDescent="0.35">
      <c r="A181" s="160" t="s">
        <v>313</v>
      </c>
      <c r="B181" s="162">
        <f>95.1+5</f>
        <v>100.1</v>
      </c>
      <c r="C181" s="112" t="s">
        <v>236</v>
      </c>
      <c r="D181" s="112" t="s">
        <v>181</v>
      </c>
      <c r="E181" s="113" t="s">
        <v>288</v>
      </c>
      <c r="F181" s="1"/>
    </row>
    <row r="182" spans="1:6" s="89" customFormat="1" x14ac:dyDescent="0.35">
      <c r="A182" s="161"/>
      <c r="B182" s="163"/>
      <c r="C182" s="154"/>
      <c r="D182" s="154"/>
      <c r="E182" s="155"/>
      <c r="F182" s="1"/>
    </row>
    <row r="183" spans="1:6" s="89" customFormat="1" x14ac:dyDescent="0.35">
      <c r="A183" s="160">
        <v>43524</v>
      </c>
      <c r="B183" s="162">
        <f>623.26+6</f>
        <v>629.26</v>
      </c>
      <c r="C183" s="112" t="s">
        <v>302</v>
      </c>
      <c r="D183" s="112" t="s">
        <v>178</v>
      </c>
      <c r="E183" s="113" t="s">
        <v>288</v>
      </c>
      <c r="F183" s="1"/>
    </row>
    <row r="184" spans="1:6" s="89" customFormat="1" x14ac:dyDescent="0.35">
      <c r="A184" s="160">
        <v>43524</v>
      </c>
      <c r="B184" s="162">
        <f>75.26+5</f>
        <v>80.260000000000005</v>
      </c>
      <c r="C184" s="112" t="s">
        <v>302</v>
      </c>
      <c r="D184" s="112" t="s">
        <v>181</v>
      </c>
      <c r="E184" s="113" t="s">
        <v>288</v>
      </c>
      <c r="F184" s="1"/>
    </row>
    <row r="185" spans="1:6" s="89" customFormat="1" x14ac:dyDescent="0.35">
      <c r="A185" s="160">
        <v>43524</v>
      </c>
      <c r="B185" s="162">
        <v>8.6999999999999993</v>
      </c>
      <c r="C185" s="112" t="s">
        <v>302</v>
      </c>
      <c r="D185" s="112" t="s">
        <v>223</v>
      </c>
      <c r="E185" s="113" t="s">
        <v>288</v>
      </c>
      <c r="F185" s="1"/>
    </row>
    <row r="186" spans="1:6" s="89" customFormat="1" x14ac:dyDescent="0.35">
      <c r="A186" s="161"/>
      <c r="B186" s="163"/>
      <c r="C186" s="154"/>
      <c r="D186" s="154"/>
      <c r="E186" s="155"/>
      <c r="F186" s="1"/>
    </row>
    <row r="187" spans="1:6" s="89" customFormat="1" x14ac:dyDescent="0.35">
      <c r="A187" s="160">
        <v>43531</v>
      </c>
      <c r="B187" s="162">
        <f>6+415.78+81.79+15</f>
        <v>518.56999999999994</v>
      </c>
      <c r="C187" s="112" t="s">
        <v>304</v>
      </c>
      <c r="D187" s="112" t="s">
        <v>178</v>
      </c>
      <c r="E187" s="113" t="s">
        <v>288</v>
      </c>
      <c r="F187" s="1"/>
    </row>
    <row r="188" spans="1:6" s="166" customFormat="1" x14ac:dyDescent="0.35">
      <c r="A188" s="160">
        <v>43531</v>
      </c>
      <c r="B188" s="162">
        <f>5+64.96</f>
        <v>69.959999999999994</v>
      </c>
      <c r="C188" s="112" t="s">
        <v>304</v>
      </c>
      <c r="D188" s="112" t="s">
        <v>303</v>
      </c>
      <c r="E188" s="113" t="s">
        <v>288</v>
      </c>
      <c r="F188" s="165"/>
    </row>
    <row r="189" spans="1:6" s="166" customFormat="1" x14ac:dyDescent="0.35">
      <c r="A189" s="160">
        <v>43531</v>
      </c>
      <c r="B189" s="162">
        <f>233.91+5</f>
        <v>238.91</v>
      </c>
      <c r="C189" s="112" t="s">
        <v>304</v>
      </c>
      <c r="D189" s="112" t="s">
        <v>172</v>
      </c>
      <c r="E189" s="113" t="s">
        <v>288</v>
      </c>
      <c r="F189" s="165"/>
    </row>
    <row r="190" spans="1:6" s="166" customFormat="1" x14ac:dyDescent="0.35">
      <c r="A190" s="160">
        <v>43531</v>
      </c>
      <c r="B190" s="162">
        <f>21.39+8.7+40.43</f>
        <v>70.52</v>
      </c>
      <c r="C190" s="112" t="s">
        <v>304</v>
      </c>
      <c r="D190" s="112" t="s">
        <v>314</v>
      </c>
      <c r="E190" s="113" t="s">
        <v>288</v>
      </c>
      <c r="F190" s="165"/>
    </row>
    <row r="191" spans="1:6" s="166" customFormat="1" x14ac:dyDescent="0.35">
      <c r="A191" s="167"/>
      <c r="B191" s="163"/>
      <c r="C191" s="154"/>
      <c r="D191" s="154"/>
      <c r="E191" s="155"/>
      <c r="F191" s="163"/>
    </row>
    <row r="192" spans="1:6" s="166" customFormat="1" x14ac:dyDescent="0.35">
      <c r="A192" s="160">
        <v>43537</v>
      </c>
      <c r="B192" s="162">
        <f>6+445.93+15+15</f>
        <v>481.93</v>
      </c>
      <c r="C192" s="112" t="s">
        <v>305</v>
      </c>
      <c r="D192" s="112" t="s">
        <v>178</v>
      </c>
      <c r="E192" s="113" t="s">
        <v>288</v>
      </c>
      <c r="F192" s="163"/>
    </row>
    <row r="193" spans="1:6" s="166" customFormat="1" x14ac:dyDescent="0.35">
      <c r="A193" s="160">
        <v>43537</v>
      </c>
      <c r="B193" s="162">
        <f>5+80.46</f>
        <v>85.46</v>
      </c>
      <c r="C193" s="112" t="s">
        <v>305</v>
      </c>
      <c r="D193" s="112" t="s">
        <v>181</v>
      </c>
      <c r="E193" s="113" t="s">
        <v>288</v>
      </c>
      <c r="F193" s="163"/>
    </row>
    <row r="194" spans="1:6" s="166" customFormat="1" x14ac:dyDescent="0.35">
      <c r="A194" s="160">
        <v>43537</v>
      </c>
      <c r="B194" s="162">
        <f>5+185</f>
        <v>190</v>
      </c>
      <c r="C194" s="112" t="s">
        <v>305</v>
      </c>
      <c r="D194" s="112" t="s">
        <v>172</v>
      </c>
      <c r="E194" s="113" t="s">
        <v>288</v>
      </c>
      <c r="F194" s="163"/>
    </row>
    <row r="195" spans="1:6" s="166" customFormat="1" x14ac:dyDescent="0.35">
      <c r="A195" s="160">
        <v>43537</v>
      </c>
      <c r="B195" s="162">
        <v>30.43</v>
      </c>
      <c r="C195" s="112" t="s">
        <v>305</v>
      </c>
      <c r="D195" s="112" t="s">
        <v>194</v>
      </c>
      <c r="E195" s="113" t="s">
        <v>288</v>
      </c>
      <c r="F195" s="163"/>
    </row>
    <row r="196" spans="1:6" s="166" customFormat="1" x14ac:dyDescent="0.35">
      <c r="A196" s="160">
        <v>43537</v>
      </c>
      <c r="B196" s="162">
        <v>59.13</v>
      </c>
      <c r="C196" s="112" t="s">
        <v>305</v>
      </c>
      <c r="D196" s="112" t="s">
        <v>319</v>
      </c>
      <c r="E196" s="113" t="s">
        <v>288</v>
      </c>
      <c r="F196" s="163"/>
    </row>
    <row r="197" spans="1:6" s="166" customFormat="1" x14ac:dyDescent="0.35">
      <c r="A197" s="161"/>
      <c r="B197" s="163"/>
      <c r="C197" s="154"/>
      <c r="D197" s="154"/>
      <c r="E197" s="155"/>
      <c r="F197" s="163"/>
    </row>
    <row r="198" spans="1:6" s="166" customFormat="1" x14ac:dyDescent="0.35">
      <c r="A198" s="160" t="s">
        <v>306</v>
      </c>
      <c r="B198" s="162">
        <f>19+377.04+15+15+77.91</f>
        <v>503.95000000000005</v>
      </c>
      <c r="C198" s="112" t="s">
        <v>307</v>
      </c>
      <c r="D198" s="112" t="s">
        <v>178</v>
      </c>
      <c r="E198" s="113" t="s">
        <v>288</v>
      </c>
      <c r="F198" s="163"/>
    </row>
    <row r="199" spans="1:6" s="166" customFormat="1" x14ac:dyDescent="0.35">
      <c r="A199" s="160" t="s">
        <v>306</v>
      </c>
      <c r="B199" s="162">
        <f>280.17+5</f>
        <v>285.17</v>
      </c>
      <c r="C199" s="112" t="s">
        <v>307</v>
      </c>
      <c r="D199" s="112" t="s">
        <v>212</v>
      </c>
      <c r="E199" s="113" t="s">
        <v>288</v>
      </c>
      <c r="F199" s="163"/>
    </row>
    <row r="200" spans="1:6" s="166" customFormat="1" x14ac:dyDescent="0.35">
      <c r="A200" s="160" t="s">
        <v>306</v>
      </c>
      <c r="B200" s="162">
        <f>14.43+43.48+8.69+88.7</f>
        <v>155.30000000000001</v>
      </c>
      <c r="C200" s="112" t="s">
        <v>307</v>
      </c>
      <c r="D200" s="112" t="s">
        <v>353</v>
      </c>
      <c r="E200" s="113" t="s">
        <v>288</v>
      </c>
      <c r="F200" s="163"/>
    </row>
    <row r="201" spans="1:6" s="166" customFormat="1" x14ac:dyDescent="0.35">
      <c r="A201" s="160" t="s">
        <v>306</v>
      </c>
      <c r="B201" s="162">
        <f>13.83+52.61+16.7</f>
        <v>83.14</v>
      </c>
      <c r="C201" s="112" t="s">
        <v>307</v>
      </c>
      <c r="D201" s="112" t="s">
        <v>348</v>
      </c>
      <c r="E201" s="113" t="s">
        <v>288</v>
      </c>
      <c r="F201" s="163"/>
    </row>
    <row r="202" spans="1:6" s="166" customFormat="1" x14ac:dyDescent="0.35">
      <c r="A202" s="160" t="s">
        <v>306</v>
      </c>
      <c r="B202" s="162">
        <f>5+110.13</f>
        <v>115.13</v>
      </c>
      <c r="C202" s="112" t="s">
        <v>307</v>
      </c>
      <c r="D202" s="112" t="s">
        <v>315</v>
      </c>
      <c r="E202" s="113" t="s">
        <v>288</v>
      </c>
      <c r="F202" s="163"/>
    </row>
    <row r="203" spans="1:6" s="166" customFormat="1" x14ac:dyDescent="0.35">
      <c r="A203" s="160" t="s">
        <v>306</v>
      </c>
      <c r="B203" s="162">
        <v>11.3</v>
      </c>
      <c r="C203" s="112" t="s">
        <v>307</v>
      </c>
      <c r="D203" s="112" t="s">
        <v>194</v>
      </c>
      <c r="E203" s="113" t="s">
        <v>288</v>
      </c>
      <c r="F203" s="163"/>
    </row>
    <row r="204" spans="1:6" s="166" customFormat="1" x14ac:dyDescent="0.35">
      <c r="A204" s="160" t="s">
        <v>306</v>
      </c>
      <c r="B204" s="162">
        <v>22.61</v>
      </c>
      <c r="C204" s="112" t="s">
        <v>307</v>
      </c>
      <c r="D204" s="112" t="s">
        <v>316</v>
      </c>
      <c r="E204" s="113" t="s">
        <v>288</v>
      </c>
      <c r="F204" s="163"/>
    </row>
    <row r="205" spans="1:6" s="166" customFormat="1" x14ac:dyDescent="0.35">
      <c r="A205" s="161"/>
      <c r="B205" s="163"/>
      <c r="C205" s="154"/>
      <c r="D205" s="154"/>
      <c r="E205" s="155"/>
      <c r="F205" s="165"/>
    </row>
    <row r="206" spans="1:6" s="166" customFormat="1" x14ac:dyDescent="0.35">
      <c r="A206" s="160">
        <v>43551</v>
      </c>
      <c r="B206" s="162">
        <f>325.4+6</f>
        <v>331.4</v>
      </c>
      <c r="C206" s="112" t="s">
        <v>308</v>
      </c>
      <c r="D206" s="112" t="s">
        <v>178</v>
      </c>
      <c r="E206" s="113" t="s">
        <v>288</v>
      </c>
      <c r="F206" s="165"/>
    </row>
    <row r="207" spans="1:6" s="166" customFormat="1" x14ac:dyDescent="0.35">
      <c r="A207" s="160">
        <v>43551</v>
      </c>
      <c r="B207" s="162">
        <f>69.93+5</f>
        <v>74.930000000000007</v>
      </c>
      <c r="C207" s="112" t="s">
        <v>308</v>
      </c>
      <c r="D207" s="112" t="s">
        <v>181</v>
      </c>
      <c r="E207" s="113" t="s">
        <v>288</v>
      </c>
      <c r="F207" s="165"/>
    </row>
    <row r="208" spans="1:6" s="166" customFormat="1" x14ac:dyDescent="0.35">
      <c r="A208" s="160">
        <v>43551</v>
      </c>
      <c r="B208" s="162">
        <f>29.57+14.44</f>
        <v>44.01</v>
      </c>
      <c r="C208" s="112" t="s">
        <v>308</v>
      </c>
      <c r="D208" s="112" t="s">
        <v>223</v>
      </c>
      <c r="E208" s="113" t="s">
        <v>288</v>
      </c>
      <c r="F208" s="165"/>
    </row>
    <row r="209" spans="1:6" s="166" customFormat="1" x14ac:dyDescent="0.35">
      <c r="A209" s="161"/>
      <c r="B209" s="163"/>
      <c r="C209" s="154"/>
      <c r="D209" s="154"/>
      <c r="E209" s="155"/>
      <c r="F209" s="165"/>
    </row>
    <row r="210" spans="1:6" s="166" customFormat="1" x14ac:dyDescent="0.35">
      <c r="A210" s="160">
        <v>43557</v>
      </c>
      <c r="B210" s="162">
        <f>6+394.28</f>
        <v>400.28</v>
      </c>
      <c r="C210" s="112" t="s">
        <v>317</v>
      </c>
      <c r="D210" s="112" t="s">
        <v>178</v>
      </c>
      <c r="E210" s="113" t="s">
        <v>288</v>
      </c>
      <c r="F210" s="165"/>
    </row>
    <row r="211" spans="1:6" s="166" customFormat="1" x14ac:dyDescent="0.35">
      <c r="A211" s="160">
        <v>43557</v>
      </c>
      <c r="B211" s="162">
        <f>63.55+5</f>
        <v>68.55</v>
      </c>
      <c r="C211" s="112" t="s">
        <v>317</v>
      </c>
      <c r="D211" s="112" t="s">
        <v>181</v>
      </c>
      <c r="E211" s="113" t="s">
        <v>288</v>
      </c>
      <c r="F211" s="165"/>
    </row>
    <row r="212" spans="1:6" s="166" customFormat="1" x14ac:dyDescent="0.35">
      <c r="A212" s="160">
        <v>43557</v>
      </c>
      <c r="B212" s="162">
        <v>29.57</v>
      </c>
      <c r="C212" s="112" t="s">
        <v>317</v>
      </c>
      <c r="D212" s="112" t="s">
        <v>318</v>
      </c>
      <c r="E212" s="113" t="s">
        <v>288</v>
      </c>
      <c r="F212" s="165"/>
    </row>
    <row r="213" spans="1:6" s="166" customFormat="1" x14ac:dyDescent="0.35">
      <c r="A213" s="161"/>
      <c r="B213" s="163"/>
      <c r="C213" s="154"/>
      <c r="D213" s="154"/>
      <c r="E213" s="155"/>
      <c r="F213" s="165"/>
    </row>
    <row r="214" spans="1:6" s="166" customFormat="1" x14ac:dyDescent="0.35">
      <c r="A214" s="160">
        <v>43585</v>
      </c>
      <c r="B214" s="162">
        <f>6+377.05+15</f>
        <v>398.05</v>
      </c>
      <c r="C214" s="112" t="s">
        <v>320</v>
      </c>
      <c r="D214" s="112" t="s">
        <v>178</v>
      </c>
      <c r="E214" s="113" t="s">
        <v>288</v>
      </c>
      <c r="F214" s="165"/>
    </row>
    <row r="215" spans="1:6" s="166" customFormat="1" x14ac:dyDescent="0.35">
      <c r="A215" s="160">
        <v>43585</v>
      </c>
      <c r="B215" s="162">
        <f>76.06+5</f>
        <v>81.06</v>
      </c>
      <c r="C215" s="112" t="s">
        <v>320</v>
      </c>
      <c r="D215" s="112" t="s">
        <v>181</v>
      </c>
      <c r="E215" s="113" t="s">
        <v>288</v>
      </c>
      <c r="F215" s="165"/>
    </row>
    <row r="216" spans="1:6" s="166" customFormat="1" x14ac:dyDescent="0.35">
      <c r="A216" s="160">
        <v>43585</v>
      </c>
      <c r="B216" s="162">
        <v>29.57</v>
      </c>
      <c r="C216" s="112" t="s">
        <v>320</v>
      </c>
      <c r="D216" s="112" t="s">
        <v>319</v>
      </c>
      <c r="E216" s="113" t="s">
        <v>288</v>
      </c>
      <c r="F216" s="165"/>
    </row>
    <row r="217" spans="1:6" s="166" customFormat="1" x14ac:dyDescent="0.35">
      <c r="A217" s="161"/>
      <c r="B217" s="163"/>
      <c r="C217" s="154"/>
      <c r="D217" s="154"/>
      <c r="E217" s="155"/>
      <c r="F217" s="165"/>
    </row>
    <row r="218" spans="1:6" s="166" customFormat="1" x14ac:dyDescent="0.35">
      <c r="A218" s="160">
        <v>43592</v>
      </c>
      <c r="B218" s="162">
        <f>6+471.76+15+94.7+15</f>
        <v>602.46</v>
      </c>
      <c r="C218" s="112" t="s">
        <v>321</v>
      </c>
      <c r="D218" s="112" t="s">
        <v>178</v>
      </c>
      <c r="E218" s="113" t="s">
        <v>288</v>
      </c>
      <c r="F218" s="165"/>
    </row>
    <row r="219" spans="1:6" s="166" customFormat="1" x14ac:dyDescent="0.35">
      <c r="A219" s="160">
        <v>43592</v>
      </c>
      <c r="B219" s="162">
        <f>29.57+27.39</f>
        <v>56.96</v>
      </c>
      <c r="C219" s="112" t="s">
        <v>321</v>
      </c>
      <c r="D219" s="112" t="s">
        <v>319</v>
      </c>
      <c r="E219" s="113" t="s">
        <v>288</v>
      </c>
      <c r="F219" s="165"/>
    </row>
    <row r="220" spans="1:6" s="166" customFormat="1" x14ac:dyDescent="0.35">
      <c r="A220" s="160">
        <v>43592</v>
      </c>
      <c r="B220" s="162">
        <f>65.54+5</f>
        <v>70.540000000000006</v>
      </c>
      <c r="C220" s="112" t="s">
        <v>321</v>
      </c>
      <c r="D220" s="112" t="s">
        <v>215</v>
      </c>
      <c r="E220" s="113" t="s">
        <v>288</v>
      </c>
      <c r="F220" s="165"/>
    </row>
    <row r="221" spans="1:6" s="166" customFormat="1" x14ac:dyDescent="0.35">
      <c r="A221" s="161"/>
      <c r="B221" s="163"/>
      <c r="C221" s="154"/>
      <c r="D221" s="154"/>
      <c r="E221" s="155"/>
      <c r="F221" s="165"/>
    </row>
    <row r="222" spans="1:6" s="166" customFormat="1" x14ac:dyDescent="0.35">
      <c r="A222" s="161"/>
      <c r="B222" s="163"/>
      <c r="C222" s="154"/>
      <c r="D222" s="154"/>
      <c r="E222" s="155"/>
      <c r="F222" s="165"/>
    </row>
    <row r="223" spans="1:6" s="166" customFormat="1" x14ac:dyDescent="0.35">
      <c r="A223" s="160">
        <v>43599</v>
      </c>
      <c r="B223" s="162">
        <f>6+420.09+172.17+15</f>
        <v>613.26</v>
      </c>
      <c r="C223" s="112" t="s">
        <v>327</v>
      </c>
      <c r="D223" s="112" t="s">
        <v>178</v>
      </c>
      <c r="E223" s="113" t="s">
        <v>289</v>
      </c>
      <c r="F223" s="165"/>
    </row>
    <row r="224" spans="1:6" s="166" customFormat="1" x14ac:dyDescent="0.35">
      <c r="A224" s="160">
        <v>43599</v>
      </c>
      <c r="B224" s="162">
        <v>83.99</v>
      </c>
      <c r="C224" s="112" t="s">
        <v>327</v>
      </c>
      <c r="D224" s="112" t="s">
        <v>238</v>
      </c>
      <c r="E224" s="113" t="s">
        <v>289</v>
      </c>
      <c r="F224" s="165"/>
    </row>
    <row r="225" spans="1:6" s="166" customFormat="1" x14ac:dyDescent="0.35">
      <c r="A225" s="160">
        <v>43599</v>
      </c>
      <c r="B225" s="162">
        <v>29.57</v>
      </c>
      <c r="C225" s="112" t="s">
        <v>327</v>
      </c>
      <c r="D225" s="112" t="s">
        <v>319</v>
      </c>
      <c r="E225" s="113" t="s">
        <v>289</v>
      </c>
      <c r="F225" s="165"/>
    </row>
    <row r="226" spans="1:6" s="166" customFormat="1" x14ac:dyDescent="0.35">
      <c r="A226" s="180"/>
      <c r="B226" s="163"/>
      <c r="C226" s="154"/>
      <c r="D226" s="154"/>
      <c r="E226" s="155"/>
      <c r="F226" s="165"/>
    </row>
    <row r="227" spans="1:6" s="166" customFormat="1" x14ac:dyDescent="0.35">
      <c r="A227" s="181">
        <v>43608</v>
      </c>
      <c r="B227" s="162">
        <f>6+385.66+15</f>
        <v>406.66</v>
      </c>
      <c r="C227" s="112" t="s">
        <v>322</v>
      </c>
      <c r="D227" s="112" t="s">
        <v>178</v>
      </c>
      <c r="E227" s="113" t="s">
        <v>323</v>
      </c>
      <c r="F227" s="165"/>
    </row>
    <row r="228" spans="1:6" s="166" customFormat="1" x14ac:dyDescent="0.35">
      <c r="A228" s="158">
        <v>43608</v>
      </c>
      <c r="B228" s="162">
        <v>29.57</v>
      </c>
      <c r="C228" s="112" t="s">
        <v>322</v>
      </c>
      <c r="D228" s="112" t="s">
        <v>354</v>
      </c>
      <c r="E228" s="113" t="s">
        <v>323</v>
      </c>
      <c r="F228" s="165"/>
    </row>
    <row r="229" spans="1:6" s="166" customFormat="1" x14ac:dyDescent="0.35">
      <c r="A229" s="158">
        <v>43608</v>
      </c>
      <c r="B229" s="162">
        <f>103.19+5</f>
        <v>108.19</v>
      </c>
      <c r="C229" s="112" t="s">
        <v>322</v>
      </c>
      <c r="D229" s="112" t="s">
        <v>215</v>
      </c>
      <c r="E229" s="113" t="s">
        <v>323</v>
      </c>
      <c r="F229" s="165"/>
    </row>
    <row r="230" spans="1:6" s="166" customFormat="1" x14ac:dyDescent="0.35">
      <c r="A230" s="170"/>
      <c r="B230" s="163"/>
      <c r="C230" s="154"/>
      <c r="D230" s="154"/>
      <c r="E230" s="155"/>
      <c r="F230" s="165"/>
    </row>
    <row r="231" spans="1:6" s="166" customFormat="1" ht="16.5" customHeight="1" x14ac:dyDescent="0.35">
      <c r="A231" s="158">
        <v>43614</v>
      </c>
      <c r="B231" s="162">
        <v>304</v>
      </c>
      <c r="C231" s="112" t="s">
        <v>339</v>
      </c>
      <c r="D231" s="112" t="s">
        <v>340</v>
      </c>
      <c r="E231" s="113" t="s">
        <v>341</v>
      </c>
      <c r="F231" s="165"/>
    </row>
    <row r="232" spans="1:6" s="166" customFormat="1" x14ac:dyDescent="0.35">
      <c r="A232" s="170"/>
      <c r="B232" s="163"/>
      <c r="C232" s="154"/>
      <c r="D232" s="154"/>
      <c r="E232" s="155"/>
      <c r="F232" s="165"/>
    </row>
    <row r="233" spans="1:6" s="166" customFormat="1" x14ac:dyDescent="0.35">
      <c r="A233" s="158">
        <v>43620</v>
      </c>
      <c r="B233" s="162">
        <f>210.05+6+15+100</f>
        <v>331.05</v>
      </c>
      <c r="C233" s="112" t="s">
        <v>328</v>
      </c>
      <c r="D233" s="112" t="s">
        <v>178</v>
      </c>
      <c r="E233" s="113" t="s">
        <v>288</v>
      </c>
      <c r="F233" s="165"/>
    </row>
    <row r="234" spans="1:6" s="166" customFormat="1" x14ac:dyDescent="0.35">
      <c r="A234" s="158">
        <v>43620</v>
      </c>
      <c r="B234" s="162">
        <f>64.96+5</f>
        <v>69.959999999999994</v>
      </c>
      <c r="C234" s="112" t="s">
        <v>328</v>
      </c>
      <c r="D234" s="112" t="s">
        <v>181</v>
      </c>
      <c r="E234" s="113" t="s">
        <v>288</v>
      </c>
      <c r="F234" s="165"/>
    </row>
    <row r="235" spans="1:6" s="182" customFormat="1" x14ac:dyDescent="0.35">
      <c r="A235" s="158">
        <v>43620</v>
      </c>
      <c r="B235" s="162">
        <v>8.6999999999999993</v>
      </c>
      <c r="C235" s="112" t="s">
        <v>328</v>
      </c>
      <c r="D235" s="112" t="s">
        <v>223</v>
      </c>
      <c r="E235" s="113" t="s">
        <v>288</v>
      </c>
      <c r="F235" s="165"/>
    </row>
    <row r="236" spans="1:6" s="166" customFormat="1" x14ac:dyDescent="0.35">
      <c r="A236" s="158">
        <v>43620</v>
      </c>
      <c r="B236" s="162">
        <f>163.35+5</f>
        <v>168.35</v>
      </c>
      <c r="C236" s="112" t="s">
        <v>328</v>
      </c>
      <c r="D236" s="112" t="s">
        <v>172</v>
      </c>
      <c r="E236" s="113" t="s">
        <v>288</v>
      </c>
      <c r="F236" s="165"/>
    </row>
    <row r="237" spans="1:6" s="182" customFormat="1" x14ac:dyDescent="0.35">
      <c r="A237" s="158">
        <v>43620</v>
      </c>
      <c r="B237" s="162">
        <v>13.91</v>
      </c>
      <c r="C237" s="112" t="s">
        <v>328</v>
      </c>
      <c r="D237" s="112" t="s">
        <v>344</v>
      </c>
      <c r="E237" s="113" t="s">
        <v>251</v>
      </c>
      <c r="F237" s="165"/>
    </row>
    <row r="238" spans="1:6" s="166" customFormat="1" x14ac:dyDescent="0.35">
      <c r="A238" s="170"/>
      <c r="B238" s="163"/>
      <c r="C238" s="154"/>
      <c r="D238" s="154"/>
      <c r="E238" s="155"/>
      <c r="F238" s="165"/>
    </row>
    <row r="239" spans="1:6" s="166" customFormat="1" x14ac:dyDescent="0.35">
      <c r="A239" s="158">
        <v>43636</v>
      </c>
      <c r="B239" s="162">
        <f>6+445.91+60.26+15</f>
        <v>527.17000000000007</v>
      </c>
      <c r="C239" s="112" t="s">
        <v>334</v>
      </c>
      <c r="D239" s="112" t="s">
        <v>178</v>
      </c>
      <c r="E239" s="113" t="s">
        <v>335</v>
      </c>
      <c r="F239" s="165"/>
    </row>
    <row r="240" spans="1:6" s="166" customFormat="1" x14ac:dyDescent="0.35">
      <c r="A240" s="158">
        <v>43636</v>
      </c>
      <c r="B240" s="162">
        <f>102.74+5</f>
        <v>107.74</v>
      </c>
      <c r="C240" s="112" t="s">
        <v>334</v>
      </c>
      <c r="D240" s="112" t="s">
        <v>172</v>
      </c>
      <c r="E240" s="113" t="s">
        <v>288</v>
      </c>
      <c r="F240" s="165"/>
    </row>
    <row r="241" spans="1:6" s="182" customFormat="1" x14ac:dyDescent="0.35">
      <c r="A241" s="158">
        <v>43636</v>
      </c>
      <c r="B241" s="162">
        <f>(53.22+10.43+84.87)</f>
        <v>148.52000000000001</v>
      </c>
      <c r="C241" s="112" t="s">
        <v>334</v>
      </c>
      <c r="D241" s="112" t="s">
        <v>348</v>
      </c>
      <c r="E241" s="113" t="s">
        <v>288</v>
      </c>
      <c r="F241" s="165"/>
    </row>
    <row r="242" spans="1:6" s="166" customFormat="1" x14ac:dyDescent="0.35">
      <c r="A242" s="170"/>
      <c r="B242" s="163"/>
      <c r="C242" s="154"/>
      <c r="D242" s="154"/>
      <c r="E242" s="155"/>
      <c r="F242" s="165"/>
    </row>
    <row r="243" spans="1:6" s="166" customFormat="1" ht="25.5" x14ac:dyDescent="0.35">
      <c r="A243" s="158" t="s">
        <v>373</v>
      </c>
      <c r="B243" s="162">
        <f>6+509.62+201.43+15+15</f>
        <v>747.05</v>
      </c>
      <c r="C243" s="112" t="s">
        <v>337</v>
      </c>
      <c r="D243" s="112" t="s">
        <v>178</v>
      </c>
      <c r="E243" s="113" t="s">
        <v>336</v>
      </c>
      <c r="F243" s="165"/>
    </row>
    <row r="244" spans="1:6" s="166" customFormat="1" ht="25.5" x14ac:dyDescent="0.35">
      <c r="A244" s="158" t="s">
        <v>373</v>
      </c>
      <c r="B244" s="162">
        <f>519.13+5+155.74+5</f>
        <v>684.87</v>
      </c>
      <c r="C244" s="112" t="s">
        <v>342</v>
      </c>
      <c r="D244" s="112" t="s">
        <v>172</v>
      </c>
      <c r="E244" s="113" t="s">
        <v>338</v>
      </c>
      <c r="F244" s="165"/>
    </row>
    <row r="245" spans="1:6" s="182" customFormat="1" ht="25.5" x14ac:dyDescent="0.35">
      <c r="A245" s="158" t="s">
        <v>373</v>
      </c>
      <c r="B245" s="162">
        <f>(9.3+10.52+46+100.96+16.52+48.8)</f>
        <v>232.09999999999997</v>
      </c>
      <c r="C245" s="112" t="s">
        <v>343</v>
      </c>
      <c r="D245" s="112" t="s">
        <v>187</v>
      </c>
      <c r="E245" s="113" t="s">
        <v>338</v>
      </c>
      <c r="F245" s="165"/>
    </row>
    <row r="246" spans="1:6" s="166" customFormat="1" ht="25.5" x14ac:dyDescent="0.35">
      <c r="A246" s="158" t="s">
        <v>373</v>
      </c>
      <c r="B246" s="162">
        <f>78.26+5+63.73</f>
        <v>146.99</v>
      </c>
      <c r="C246" s="112" t="s">
        <v>342</v>
      </c>
      <c r="D246" s="112" t="s">
        <v>174</v>
      </c>
      <c r="E246" s="113" t="s">
        <v>338</v>
      </c>
      <c r="F246" s="165"/>
    </row>
    <row r="247" spans="1:6" s="166" customFormat="1" x14ac:dyDescent="0.35">
      <c r="A247" s="164"/>
      <c r="B247" s="163"/>
      <c r="C247" s="154"/>
      <c r="D247" s="154"/>
      <c r="E247" s="155"/>
      <c r="F247" s="165"/>
    </row>
    <row r="248" spans="1:6" s="89" customFormat="1" x14ac:dyDescent="0.35">
      <c r="A248" s="114"/>
      <c r="B248" s="111"/>
      <c r="C248" s="112"/>
      <c r="D248" s="112"/>
      <c r="E248" s="113"/>
      <c r="F248" s="1"/>
    </row>
    <row r="249" spans="1:6" ht="19.5" customHeight="1" x14ac:dyDescent="0.35">
      <c r="A249" s="126" t="s">
        <v>155</v>
      </c>
      <c r="B249" s="127">
        <f>SUM(B33:B248)</f>
        <v>35314.889999999978</v>
      </c>
      <c r="C249" s="128" t="str">
        <f>IF(SUBTOTAL(3,B33:B248)=SUBTOTAL(103,B33:B248),'Summary and sign-off'!$A$47,'Summary and sign-off'!$A$48)</f>
        <v>Check - there are no hidden rows with data</v>
      </c>
      <c r="D249" s="191" t="str">
        <f>IF('Summary and sign-off'!F55='Summary and sign-off'!F53,'Summary and sign-off'!A50,'Summary and sign-off'!A49)</f>
        <v>Check - each entry provides sufficient information</v>
      </c>
      <c r="E249" s="191"/>
      <c r="F249" s="48"/>
    </row>
    <row r="250" spans="1:6" ht="10.5" customHeight="1" x14ac:dyDescent="0.4">
      <c r="A250" s="29"/>
      <c r="B250" s="24"/>
      <c r="C250" s="29"/>
      <c r="D250" s="29"/>
      <c r="E250" s="29"/>
      <c r="F250" s="29"/>
    </row>
    <row r="251" spans="1:6" ht="24.75" customHeight="1" x14ac:dyDescent="0.35">
      <c r="A251" s="192" t="s">
        <v>44</v>
      </c>
      <c r="B251" s="192"/>
      <c r="C251" s="192"/>
      <c r="D251" s="192"/>
      <c r="E251" s="192"/>
      <c r="F251" s="48"/>
    </row>
    <row r="252" spans="1:6" ht="27" customHeight="1" x14ac:dyDescent="0.35">
      <c r="A252" s="37" t="s">
        <v>49</v>
      </c>
      <c r="B252" s="37" t="s">
        <v>31</v>
      </c>
      <c r="C252" s="37" t="s">
        <v>147</v>
      </c>
      <c r="D252" s="37" t="s">
        <v>88</v>
      </c>
      <c r="E252" s="37" t="s">
        <v>76</v>
      </c>
      <c r="F252" s="51"/>
    </row>
    <row r="253" spans="1:6" s="89" customFormat="1" x14ac:dyDescent="0.35">
      <c r="A253" s="114"/>
      <c r="B253" s="111"/>
      <c r="C253" s="112"/>
      <c r="D253" s="112"/>
      <c r="E253" s="113"/>
      <c r="F253" s="1"/>
    </row>
    <row r="254" spans="1:6" s="89" customFormat="1" x14ac:dyDescent="0.35">
      <c r="A254" s="114">
        <v>43283</v>
      </c>
      <c r="B254" s="162">
        <v>11.22</v>
      </c>
      <c r="C254" s="112" t="s">
        <v>237</v>
      </c>
      <c r="D254" s="112" t="s">
        <v>238</v>
      </c>
      <c r="E254" s="113" t="s">
        <v>251</v>
      </c>
      <c r="F254" s="1"/>
    </row>
    <row r="255" spans="1:6" s="89" customFormat="1" x14ac:dyDescent="0.35">
      <c r="A255" s="114">
        <v>43283</v>
      </c>
      <c r="B255" s="162">
        <v>10.69</v>
      </c>
      <c r="C255" s="112" t="s">
        <v>239</v>
      </c>
      <c r="D255" s="112" t="s">
        <v>238</v>
      </c>
      <c r="E255" s="113" t="s">
        <v>251</v>
      </c>
      <c r="F255" s="1"/>
    </row>
    <row r="256" spans="1:6" s="89" customFormat="1" x14ac:dyDescent="0.35">
      <c r="A256" s="114">
        <v>43305</v>
      </c>
      <c r="B256" s="162">
        <v>74.52</v>
      </c>
      <c r="C256" s="112" t="s">
        <v>240</v>
      </c>
      <c r="D256" s="112" t="s">
        <v>238</v>
      </c>
      <c r="E256" s="113" t="s">
        <v>251</v>
      </c>
      <c r="F256" s="1"/>
    </row>
    <row r="257" spans="1:6" s="89" customFormat="1" x14ac:dyDescent="0.35">
      <c r="A257" s="114">
        <v>43316</v>
      </c>
      <c r="B257" s="162">
        <v>10.87</v>
      </c>
      <c r="C257" s="112" t="s">
        <v>241</v>
      </c>
      <c r="D257" s="112"/>
      <c r="E257" s="113" t="s">
        <v>251</v>
      </c>
      <c r="F257" s="1"/>
    </row>
    <row r="258" spans="1:6" s="89" customFormat="1" x14ac:dyDescent="0.35">
      <c r="A258" s="114">
        <v>43348</v>
      </c>
      <c r="B258" s="162">
        <v>9.1300000000000008</v>
      </c>
      <c r="C258" s="112" t="s">
        <v>242</v>
      </c>
      <c r="D258" s="112" t="s">
        <v>238</v>
      </c>
      <c r="E258" s="113" t="s">
        <v>251</v>
      </c>
      <c r="F258" s="1"/>
    </row>
    <row r="259" spans="1:6" s="89" customFormat="1" x14ac:dyDescent="0.35">
      <c r="A259" s="114">
        <v>43348</v>
      </c>
      <c r="B259" s="162">
        <v>78.260000000000005</v>
      </c>
      <c r="C259" s="112" t="s">
        <v>243</v>
      </c>
      <c r="D259" s="112" t="s">
        <v>238</v>
      </c>
      <c r="E259" s="113" t="s">
        <v>251</v>
      </c>
      <c r="F259" s="1"/>
    </row>
    <row r="260" spans="1:6" s="89" customFormat="1" x14ac:dyDescent="0.35">
      <c r="A260" s="114">
        <v>43347</v>
      </c>
      <c r="B260" s="162">
        <v>77.3</v>
      </c>
      <c r="C260" s="112" t="s">
        <v>244</v>
      </c>
      <c r="D260" s="112" t="s">
        <v>238</v>
      </c>
      <c r="E260" s="113" t="s">
        <v>251</v>
      </c>
      <c r="F260" s="1"/>
    </row>
    <row r="261" spans="1:6" s="89" customFormat="1" x14ac:dyDescent="0.35">
      <c r="A261" s="114">
        <v>43382</v>
      </c>
      <c r="B261" s="162">
        <v>68.349999999999994</v>
      </c>
      <c r="C261" s="112" t="s">
        <v>245</v>
      </c>
      <c r="D261" s="112" t="s">
        <v>238</v>
      </c>
      <c r="E261" s="113" t="s">
        <v>251</v>
      </c>
      <c r="F261" s="1"/>
    </row>
    <row r="262" spans="1:6" s="89" customFormat="1" x14ac:dyDescent="0.35">
      <c r="A262" s="114">
        <v>43425</v>
      </c>
      <c r="B262" s="162">
        <v>17.739999999999998</v>
      </c>
      <c r="C262" s="112" t="s">
        <v>246</v>
      </c>
      <c r="D262" s="112" t="s">
        <v>238</v>
      </c>
      <c r="E262" s="113" t="s">
        <v>251</v>
      </c>
      <c r="F262" s="1"/>
    </row>
    <row r="263" spans="1:6" s="89" customFormat="1" x14ac:dyDescent="0.35">
      <c r="A263" s="114">
        <v>43796</v>
      </c>
      <c r="B263" s="162">
        <v>9.83</v>
      </c>
      <c r="C263" s="112" t="s">
        <v>247</v>
      </c>
      <c r="D263" s="112" t="s">
        <v>238</v>
      </c>
      <c r="E263" s="113" t="s">
        <v>251</v>
      </c>
      <c r="F263" s="1"/>
    </row>
    <row r="264" spans="1:6" s="89" customFormat="1" x14ac:dyDescent="0.35">
      <c r="A264" s="114">
        <v>43796</v>
      </c>
      <c r="B264" s="162">
        <v>11.83</v>
      </c>
      <c r="C264" s="112" t="s">
        <v>248</v>
      </c>
      <c r="D264" s="112" t="s">
        <v>238</v>
      </c>
      <c r="E264" s="113" t="s">
        <v>251</v>
      </c>
      <c r="F264" s="1"/>
    </row>
    <row r="265" spans="1:6" s="89" customFormat="1" x14ac:dyDescent="0.35">
      <c r="A265" s="114">
        <v>43803</v>
      </c>
      <c r="B265" s="162">
        <v>74</v>
      </c>
      <c r="C265" s="112" t="s">
        <v>249</v>
      </c>
      <c r="D265" s="112" t="s">
        <v>238</v>
      </c>
      <c r="E265" s="113" t="s">
        <v>251</v>
      </c>
      <c r="F265" s="1"/>
    </row>
    <row r="266" spans="1:6" s="89" customFormat="1" x14ac:dyDescent="0.35">
      <c r="A266" s="114">
        <v>43812</v>
      </c>
      <c r="B266" s="162">
        <v>10.78</v>
      </c>
      <c r="C266" s="112" t="s">
        <v>250</v>
      </c>
      <c r="D266" s="112" t="s">
        <v>238</v>
      </c>
      <c r="E266" s="113" t="s">
        <v>251</v>
      </c>
      <c r="F266" s="1"/>
    </row>
    <row r="267" spans="1:6" s="89" customFormat="1" x14ac:dyDescent="0.35">
      <c r="A267" s="114">
        <v>43558</v>
      </c>
      <c r="B267" s="162">
        <v>5.22</v>
      </c>
      <c r="C267" s="112" t="s">
        <v>357</v>
      </c>
      <c r="D267" s="112" t="s">
        <v>223</v>
      </c>
      <c r="E267" s="113" t="s">
        <v>251</v>
      </c>
      <c r="F267" s="165"/>
    </row>
    <row r="268" spans="1:6" s="166" customFormat="1" x14ac:dyDescent="0.35">
      <c r="A268" s="114">
        <v>43564</v>
      </c>
      <c r="B268" s="162">
        <v>46.67</v>
      </c>
      <c r="C268" s="112" t="s">
        <v>326</v>
      </c>
      <c r="D268" s="112" t="s">
        <v>238</v>
      </c>
      <c r="E268" s="113" t="s">
        <v>251</v>
      </c>
      <c r="F268" s="163"/>
    </row>
    <row r="269" spans="1:6" s="166" customFormat="1" x14ac:dyDescent="0.35">
      <c r="A269" s="114">
        <v>43564</v>
      </c>
      <c r="B269" s="162">
        <v>13.48</v>
      </c>
      <c r="C269" s="112" t="s">
        <v>332</v>
      </c>
      <c r="D269" s="112" t="s">
        <v>238</v>
      </c>
      <c r="E269" s="113" t="s">
        <v>251</v>
      </c>
      <c r="F269" s="163"/>
    </row>
    <row r="270" spans="1:6" s="166" customFormat="1" x14ac:dyDescent="0.35">
      <c r="A270" s="114">
        <v>43564</v>
      </c>
      <c r="B270" s="162">
        <v>10.43</v>
      </c>
      <c r="C270" s="112" t="s">
        <v>246</v>
      </c>
      <c r="D270" s="112" t="s">
        <v>238</v>
      </c>
      <c r="E270" s="113" t="s">
        <v>251</v>
      </c>
      <c r="F270" s="163"/>
    </row>
    <row r="271" spans="1:6" s="166" customFormat="1" x14ac:dyDescent="0.35">
      <c r="A271" s="114">
        <v>43567</v>
      </c>
      <c r="B271" s="162">
        <v>54.31</v>
      </c>
      <c r="C271" s="112" t="s">
        <v>331</v>
      </c>
      <c r="D271" s="112" t="s">
        <v>238</v>
      </c>
      <c r="E271" s="113" t="s">
        <v>251</v>
      </c>
      <c r="F271" s="163"/>
    </row>
    <row r="272" spans="1:6" s="166" customFormat="1" x14ac:dyDescent="0.35">
      <c r="A272" s="114">
        <v>43572</v>
      </c>
      <c r="B272" s="162">
        <f>7.39+28.35</f>
        <v>35.74</v>
      </c>
      <c r="C272" s="112" t="s">
        <v>324</v>
      </c>
      <c r="D272" s="112" t="s">
        <v>223</v>
      </c>
      <c r="E272" s="113" t="s">
        <v>251</v>
      </c>
      <c r="F272" s="163"/>
    </row>
    <row r="273" spans="1:6" s="166" customFormat="1" x14ac:dyDescent="0.35">
      <c r="A273" s="114">
        <v>43584</v>
      </c>
      <c r="B273" s="162">
        <v>59.77</v>
      </c>
      <c r="C273" s="112" t="s">
        <v>325</v>
      </c>
      <c r="D273" s="112" t="s">
        <v>238</v>
      </c>
      <c r="E273" s="113" t="s">
        <v>251</v>
      </c>
      <c r="F273" s="163"/>
    </row>
    <row r="274" spans="1:6" s="166" customFormat="1" x14ac:dyDescent="0.35">
      <c r="A274" s="164"/>
      <c r="B274" s="163"/>
      <c r="C274" s="154"/>
      <c r="D274" s="183"/>
      <c r="E274" s="155"/>
      <c r="F274" s="165"/>
    </row>
    <row r="275" spans="1:6" s="166" customFormat="1" hidden="1" x14ac:dyDescent="0.35">
      <c r="A275" s="164"/>
      <c r="B275" s="163"/>
      <c r="C275" s="154"/>
      <c r="D275" s="154"/>
      <c r="E275" s="155"/>
      <c r="F275" s="165"/>
    </row>
    <row r="276" spans="1:6" s="166" customFormat="1" hidden="1" x14ac:dyDescent="0.35">
      <c r="A276" s="164"/>
      <c r="B276" s="163"/>
      <c r="C276" s="154"/>
      <c r="D276" s="154"/>
      <c r="E276" s="155"/>
      <c r="F276" s="165"/>
    </row>
    <row r="277" spans="1:6" s="166" customFormat="1" hidden="1" x14ac:dyDescent="0.35">
      <c r="A277" s="164"/>
      <c r="B277" s="163"/>
      <c r="C277" s="154"/>
      <c r="D277" s="154"/>
      <c r="E277" s="155"/>
      <c r="F277" s="165"/>
    </row>
    <row r="278" spans="1:6" s="166" customFormat="1" hidden="1" x14ac:dyDescent="0.35">
      <c r="A278" s="164"/>
      <c r="B278" s="163"/>
      <c r="C278" s="154"/>
      <c r="D278" s="154"/>
      <c r="E278" s="155"/>
      <c r="F278" s="165"/>
    </row>
    <row r="279" spans="1:6" s="166" customFormat="1" hidden="1" x14ac:dyDescent="0.35">
      <c r="A279" s="164"/>
      <c r="B279" s="163"/>
      <c r="C279" s="154"/>
      <c r="D279" s="154"/>
      <c r="E279" s="155"/>
      <c r="F279" s="165"/>
    </row>
    <row r="280" spans="1:6" s="166" customFormat="1" hidden="1" x14ac:dyDescent="0.35">
      <c r="A280" s="164"/>
      <c r="B280" s="163"/>
      <c r="C280" s="154"/>
      <c r="D280" s="154"/>
      <c r="E280" s="155"/>
      <c r="F280" s="165"/>
    </row>
    <row r="281" spans="1:6" s="166" customFormat="1" hidden="1" x14ac:dyDescent="0.35">
      <c r="A281" s="164"/>
      <c r="B281" s="163"/>
      <c r="C281" s="154"/>
      <c r="D281" s="154"/>
      <c r="E281" s="155"/>
      <c r="F281" s="165"/>
    </row>
    <row r="282" spans="1:6" s="166" customFormat="1" hidden="1" x14ac:dyDescent="0.35">
      <c r="A282" s="164"/>
      <c r="B282" s="163"/>
      <c r="C282" s="154"/>
      <c r="D282" s="154"/>
      <c r="E282" s="155"/>
      <c r="F282" s="165"/>
    </row>
    <row r="283" spans="1:6" s="166" customFormat="1" hidden="1" x14ac:dyDescent="0.35">
      <c r="A283" s="164"/>
      <c r="B283" s="163"/>
      <c r="C283" s="154"/>
      <c r="D283" s="154"/>
      <c r="E283" s="155"/>
      <c r="F283" s="165"/>
    </row>
    <row r="284" spans="1:6" s="166" customFormat="1" hidden="1" x14ac:dyDescent="0.35">
      <c r="A284" s="164"/>
      <c r="B284" s="163"/>
      <c r="C284" s="154"/>
      <c r="D284" s="154"/>
      <c r="E284" s="155"/>
      <c r="F284" s="165"/>
    </row>
    <row r="285" spans="1:6" s="166" customFormat="1" hidden="1" x14ac:dyDescent="0.35">
      <c r="A285" s="164"/>
      <c r="B285" s="163"/>
      <c r="C285" s="154"/>
      <c r="D285" s="154"/>
      <c r="E285" s="155"/>
      <c r="F285" s="165"/>
    </row>
    <row r="286" spans="1:6" s="166" customFormat="1" hidden="1" x14ac:dyDescent="0.35">
      <c r="A286" s="164"/>
      <c r="B286" s="163"/>
      <c r="C286" s="154"/>
      <c r="D286" s="154"/>
      <c r="E286" s="155"/>
      <c r="F286" s="165"/>
    </row>
    <row r="287" spans="1:6" s="166" customFormat="1" hidden="1" x14ac:dyDescent="0.35">
      <c r="A287" s="164"/>
      <c r="B287" s="163"/>
      <c r="C287" s="154"/>
      <c r="D287" s="154"/>
      <c r="E287" s="155"/>
      <c r="F287" s="165"/>
    </row>
    <row r="288" spans="1:6" s="166" customFormat="1" hidden="1" x14ac:dyDescent="0.35">
      <c r="A288" s="164"/>
      <c r="B288" s="163"/>
      <c r="C288" s="154"/>
      <c r="D288" s="154"/>
      <c r="E288" s="155"/>
      <c r="F288" s="165"/>
    </row>
    <row r="289" spans="1:6" s="166" customFormat="1" hidden="1" x14ac:dyDescent="0.35">
      <c r="A289" s="164"/>
      <c r="B289" s="163"/>
      <c r="C289" s="154"/>
      <c r="D289" s="154"/>
      <c r="E289" s="155"/>
      <c r="F289" s="165"/>
    </row>
    <row r="290" spans="1:6" s="166" customFormat="1" hidden="1" x14ac:dyDescent="0.35">
      <c r="A290" s="164"/>
      <c r="B290" s="163"/>
      <c r="C290" s="154"/>
      <c r="D290" s="154"/>
      <c r="E290" s="155"/>
      <c r="F290" s="165"/>
    </row>
    <row r="291" spans="1:6" s="166" customFormat="1" hidden="1" x14ac:dyDescent="0.35">
      <c r="A291" s="164"/>
      <c r="B291" s="163"/>
      <c r="C291" s="154"/>
      <c r="D291" s="154"/>
      <c r="E291" s="155"/>
      <c r="F291" s="165"/>
    </row>
    <row r="292" spans="1:6" s="166" customFormat="1" hidden="1" x14ac:dyDescent="0.35">
      <c r="A292" s="164"/>
      <c r="B292" s="163"/>
      <c r="C292" s="154"/>
      <c r="D292" s="154"/>
      <c r="E292" s="155"/>
      <c r="F292" s="165"/>
    </row>
    <row r="293" spans="1:6" s="166" customFormat="1" hidden="1" x14ac:dyDescent="0.35">
      <c r="A293" s="164"/>
      <c r="B293" s="163"/>
      <c r="C293" s="154"/>
      <c r="D293" s="154"/>
      <c r="E293" s="155"/>
      <c r="F293" s="165"/>
    </row>
    <row r="294" spans="1:6" s="166" customFormat="1" hidden="1" x14ac:dyDescent="0.35">
      <c r="A294" s="164"/>
      <c r="B294" s="163"/>
      <c r="C294" s="154"/>
      <c r="D294" s="154"/>
      <c r="E294" s="155"/>
      <c r="F294" s="165"/>
    </row>
    <row r="295" spans="1:6" s="166" customFormat="1" hidden="1" x14ac:dyDescent="0.35">
      <c r="A295" s="164"/>
      <c r="B295" s="163"/>
      <c r="C295" s="154"/>
      <c r="D295" s="154"/>
      <c r="E295" s="155"/>
      <c r="F295" s="165"/>
    </row>
    <row r="296" spans="1:6" s="166" customFormat="1" hidden="1" x14ac:dyDescent="0.35">
      <c r="A296" s="164"/>
      <c r="B296" s="163"/>
      <c r="C296" s="154"/>
      <c r="D296" s="154"/>
      <c r="E296" s="155"/>
      <c r="F296" s="165"/>
    </row>
    <row r="297" spans="1:6" s="166" customFormat="1" hidden="1" x14ac:dyDescent="0.35">
      <c r="A297" s="164"/>
      <c r="B297" s="163"/>
      <c r="C297" s="154"/>
      <c r="D297" s="154"/>
      <c r="E297" s="155"/>
      <c r="F297" s="165"/>
    </row>
    <row r="298" spans="1:6" s="166" customFormat="1" hidden="1" x14ac:dyDescent="0.35">
      <c r="A298" s="164"/>
      <c r="B298" s="163"/>
      <c r="C298" s="154"/>
      <c r="D298" s="154"/>
      <c r="E298" s="155"/>
      <c r="F298" s="165"/>
    </row>
    <row r="299" spans="1:6" s="166" customFormat="1" hidden="1" x14ac:dyDescent="0.35">
      <c r="A299" s="164"/>
      <c r="B299" s="163"/>
      <c r="C299" s="154"/>
      <c r="D299" s="154"/>
      <c r="E299" s="155"/>
      <c r="F299" s="165"/>
    </row>
    <row r="300" spans="1:6" s="166" customFormat="1" hidden="1" x14ac:dyDescent="0.35">
      <c r="A300" s="164"/>
      <c r="B300" s="163"/>
      <c r="C300" s="154"/>
      <c r="D300" s="154"/>
      <c r="E300" s="155"/>
      <c r="F300" s="165"/>
    </row>
    <row r="301" spans="1:6" s="166" customFormat="1" hidden="1" x14ac:dyDescent="0.35">
      <c r="A301" s="164"/>
      <c r="B301" s="163"/>
      <c r="C301" s="154"/>
      <c r="D301" s="154"/>
      <c r="E301" s="155"/>
      <c r="F301" s="165"/>
    </row>
    <row r="302" spans="1:6" s="166" customFormat="1" hidden="1" x14ac:dyDescent="0.35">
      <c r="A302" s="164"/>
      <c r="B302" s="163"/>
      <c r="C302" s="154"/>
      <c r="D302" s="154"/>
      <c r="E302" s="155"/>
      <c r="F302" s="165"/>
    </row>
    <row r="303" spans="1:6" s="166" customFormat="1" hidden="1" x14ac:dyDescent="0.35">
      <c r="A303" s="164"/>
      <c r="B303" s="163"/>
      <c r="C303" s="154"/>
      <c r="D303" s="154"/>
      <c r="E303" s="155"/>
      <c r="F303" s="165"/>
    </row>
    <row r="304" spans="1:6" s="166" customFormat="1" hidden="1" x14ac:dyDescent="0.35">
      <c r="A304" s="164"/>
      <c r="B304" s="163"/>
      <c r="C304" s="154"/>
      <c r="D304" s="154"/>
      <c r="E304" s="155"/>
      <c r="F304" s="165"/>
    </row>
    <row r="305" spans="1:6" s="166" customFormat="1" hidden="1" x14ac:dyDescent="0.35">
      <c r="A305" s="164"/>
      <c r="B305" s="163"/>
      <c r="C305" s="154"/>
      <c r="D305" s="154"/>
      <c r="E305" s="155"/>
      <c r="F305" s="165"/>
    </row>
    <row r="306" spans="1:6" s="166" customFormat="1" x14ac:dyDescent="0.35">
      <c r="A306" s="164"/>
      <c r="B306" s="163"/>
      <c r="C306" s="154"/>
      <c r="D306" s="154"/>
      <c r="E306" s="155"/>
      <c r="F306" s="165"/>
    </row>
    <row r="307" spans="1:6" s="89" customFormat="1" x14ac:dyDescent="0.35">
      <c r="A307" s="114"/>
      <c r="B307" s="111"/>
      <c r="C307" s="112"/>
      <c r="D307" s="112"/>
      <c r="E307" s="113"/>
      <c r="F307" s="1"/>
    </row>
    <row r="308" spans="1:6" ht="19.5" customHeight="1" x14ac:dyDescent="0.35">
      <c r="A308" s="126" t="s">
        <v>152</v>
      </c>
      <c r="B308" s="127">
        <f>SUM(B253:B307)</f>
        <v>690.13999999999987</v>
      </c>
      <c r="C308" s="128" t="str">
        <f>IF(SUBTOTAL(3,B253:B307)=SUBTOTAL(103,B253:B307),'Summary and sign-off'!$A$47,'Summary and sign-off'!$A$48)</f>
        <v>Check - there are no hidden rows with data</v>
      </c>
      <c r="D308" s="191" t="str">
        <f>IF('Summary and sign-off'!F56='Summary and sign-off'!F53,'Summary and sign-off'!A50,'Summary and sign-off'!A49)</f>
        <v>Not all lines have an entry for "Cost in NZ$" and "Type of expense"</v>
      </c>
      <c r="E308" s="191"/>
      <c r="F308" s="48"/>
    </row>
    <row r="309" spans="1:6" ht="10.5" customHeight="1" x14ac:dyDescent="0.4">
      <c r="A309" s="29"/>
      <c r="B309" s="97"/>
      <c r="C309" s="24"/>
      <c r="D309" s="29"/>
      <c r="E309" s="29"/>
      <c r="F309" s="29"/>
    </row>
    <row r="310" spans="1:6" ht="34.5" customHeight="1" x14ac:dyDescent="0.35">
      <c r="A310" s="52" t="s">
        <v>1</v>
      </c>
      <c r="B310" s="98">
        <f>B29+B249+B308</f>
        <v>40176.229999999974</v>
      </c>
      <c r="C310" s="53"/>
      <c r="D310" s="53"/>
      <c r="E310" s="53"/>
      <c r="F310" s="28"/>
    </row>
    <row r="311" spans="1:6" ht="13.15" x14ac:dyDescent="0.4">
      <c r="A311" s="29"/>
      <c r="B311" s="24"/>
      <c r="C311" s="29"/>
      <c r="D311" s="29"/>
      <c r="E311" s="29"/>
      <c r="F311" s="29"/>
    </row>
    <row r="312" spans="1:6" ht="13.15" x14ac:dyDescent="0.4">
      <c r="A312" s="54" t="s">
        <v>8</v>
      </c>
      <c r="B312" s="27"/>
      <c r="C312" s="28"/>
      <c r="D312" s="28"/>
      <c r="E312" s="28"/>
      <c r="F312" s="29"/>
    </row>
    <row r="313" spans="1:6" ht="12.6" customHeight="1" x14ac:dyDescent="0.35">
      <c r="A313" s="25" t="s">
        <v>50</v>
      </c>
      <c r="B313" s="55"/>
      <c r="C313" s="55"/>
      <c r="D313" s="34"/>
      <c r="E313" s="34"/>
      <c r="F313" s="29"/>
    </row>
    <row r="314" spans="1:6" ht="12.95" customHeight="1" x14ac:dyDescent="0.35">
      <c r="A314" s="33" t="s">
        <v>156</v>
      </c>
      <c r="B314" s="29"/>
      <c r="C314" s="34"/>
      <c r="D314" s="29"/>
      <c r="E314" s="34"/>
      <c r="F314" s="29"/>
    </row>
    <row r="315" spans="1:6" x14ac:dyDescent="0.35">
      <c r="A315" s="33" t="s">
        <v>149</v>
      </c>
      <c r="B315" s="34"/>
      <c r="C315" s="34"/>
      <c r="D315" s="34"/>
      <c r="E315" s="56"/>
      <c r="F315" s="48"/>
    </row>
    <row r="316" spans="1:6" ht="13.15" x14ac:dyDescent="0.4">
      <c r="A316" s="25" t="s">
        <v>157</v>
      </c>
      <c r="B316" s="27"/>
      <c r="C316" s="28"/>
      <c r="D316" s="28"/>
      <c r="E316" s="28"/>
      <c r="F316" s="29"/>
    </row>
    <row r="317" spans="1:6" ht="12.95" customHeight="1" x14ac:dyDescent="0.35">
      <c r="A317" s="33" t="s">
        <v>148</v>
      </c>
      <c r="B317" s="29"/>
      <c r="C317" s="34"/>
      <c r="D317" s="29"/>
      <c r="E317" s="34"/>
      <c r="F317" s="29"/>
    </row>
    <row r="318" spans="1:6" x14ac:dyDescent="0.35">
      <c r="A318" s="33" t="s">
        <v>153</v>
      </c>
      <c r="B318" s="34"/>
      <c r="C318" s="34"/>
      <c r="D318" s="34"/>
      <c r="E318" s="56"/>
      <c r="F318" s="48"/>
    </row>
    <row r="319" spans="1:6" x14ac:dyDescent="0.35">
      <c r="A319" s="38" t="s">
        <v>165</v>
      </c>
      <c r="B319" s="38"/>
      <c r="C319" s="38"/>
      <c r="D319" s="38"/>
      <c r="E319" s="56"/>
      <c r="F319" s="48"/>
    </row>
    <row r="320" spans="1:6" x14ac:dyDescent="0.35">
      <c r="A320" s="42"/>
      <c r="B320" s="29"/>
      <c r="C320" s="29"/>
      <c r="D320" s="29"/>
      <c r="E320" s="48"/>
      <c r="F320" s="48"/>
    </row>
    <row r="321" spans="1:6" x14ac:dyDescent="0.35">
      <c r="A321" s="42"/>
      <c r="B321" s="29"/>
      <c r="C321" s="29"/>
      <c r="D321" s="29"/>
      <c r="E321" s="48"/>
      <c r="F321" s="48"/>
    </row>
    <row r="326" spans="1:6" ht="12.75" customHeight="1" x14ac:dyDescent="0.35"/>
    <row r="329" spans="1:6" x14ac:dyDescent="0.35">
      <c r="A329" s="57"/>
      <c r="B329" s="48"/>
      <c r="C329" s="48"/>
      <c r="D329" s="48"/>
      <c r="E329" s="48"/>
      <c r="F329" s="48"/>
    </row>
    <row r="330" spans="1:6" x14ac:dyDescent="0.35">
      <c r="A330" s="57"/>
      <c r="B330" s="48"/>
      <c r="C330" s="48"/>
      <c r="D330" s="48"/>
      <c r="E330" s="48"/>
      <c r="F330" s="48"/>
    </row>
    <row r="331" spans="1:6" x14ac:dyDescent="0.35">
      <c r="A331" s="57"/>
      <c r="B331" s="48"/>
      <c r="C331" s="48"/>
      <c r="D331" s="48"/>
      <c r="E331" s="48"/>
      <c r="F331" s="48"/>
    </row>
    <row r="332" spans="1:6" x14ac:dyDescent="0.35">
      <c r="A332" s="57"/>
      <c r="B332" s="48"/>
      <c r="C332" s="48"/>
      <c r="D332" s="48"/>
      <c r="E332" s="48"/>
      <c r="F332" s="48"/>
    </row>
    <row r="333" spans="1:6" x14ac:dyDescent="0.35">
      <c r="A333" s="57"/>
      <c r="B333" s="48"/>
      <c r="C333" s="48"/>
      <c r="D333" s="48"/>
      <c r="E333" s="48"/>
      <c r="F333" s="48"/>
    </row>
  </sheetData>
  <sheetProtection sheet="1" formatCells="0" formatRows="0" insertColumns="0" insertRows="0" deleteRows="0"/>
  <mergeCells count="15">
    <mergeCell ref="B7:E7"/>
    <mergeCell ref="B5:E5"/>
    <mergeCell ref="D308:E308"/>
    <mergeCell ref="A1:E1"/>
    <mergeCell ref="A31:E31"/>
    <mergeCell ref="A251:E251"/>
    <mergeCell ref="B2:E2"/>
    <mergeCell ref="B3:E3"/>
    <mergeCell ref="B4:E4"/>
    <mergeCell ref="A8:E8"/>
    <mergeCell ref="A9:E9"/>
    <mergeCell ref="B6:E6"/>
    <mergeCell ref="D29:E29"/>
    <mergeCell ref="D249:E249"/>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3:A307 A12:A28 A33:A24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52 A32 A11" xr:uid="{00000000-0002-0000-0300-000001000000}"/>
  </dataValidations>
  <pageMargins left="0.70866141732283472" right="0.70866141732283472" top="0.74803149606299213" bottom="0.74803149606299213" header="0.31496062992125984" footer="0.31496062992125984"/>
  <pageSetup paperSize="9" scale="46"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B253:B307 B24:B28 B12:B21 B33:B248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J53"/>
  <sheetViews>
    <sheetView topLeftCell="A10" zoomScaleNormal="100" workbookViewId="0">
      <selection activeCell="B7" sqref="B7:E7"/>
    </sheetView>
  </sheetViews>
  <sheetFormatPr defaultColWidth="0" defaultRowHeight="12.75" zeroHeight="1" x14ac:dyDescent="0.35"/>
  <cols>
    <col min="1" max="1" width="35.73046875" style="17" customWidth="1"/>
    <col min="2" max="2" width="14.265625" style="17" customWidth="1"/>
    <col min="3" max="3" width="71.3984375" style="17" customWidth="1"/>
    <col min="4" max="4" width="50" style="17" customWidth="1"/>
    <col min="5" max="5" width="21.3984375" style="17" customWidth="1"/>
    <col min="6" max="6" width="39.265625" style="17" customWidth="1"/>
    <col min="7" max="10" width="9.1328125" style="17" hidden="1" customWidth="1"/>
    <col min="11" max="13" width="0" style="17" hidden="1" customWidth="1"/>
    <col min="14" max="16384" width="0" style="17" hidden="1"/>
  </cols>
  <sheetData>
    <row r="1" spans="1:6" ht="26.25" customHeight="1" x14ac:dyDescent="0.35">
      <c r="A1" s="187" t="s">
        <v>6</v>
      </c>
      <c r="B1" s="187"/>
      <c r="C1" s="187"/>
      <c r="D1" s="187"/>
      <c r="E1" s="187"/>
      <c r="F1" s="40"/>
    </row>
    <row r="2" spans="1:6" ht="21" customHeight="1" x14ac:dyDescent="0.35">
      <c r="A2" s="4" t="s">
        <v>2</v>
      </c>
      <c r="B2" s="190" t="str">
        <f>'Summary and sign-off'!B2:F2</f>
        <v>Sport NZ</v>
      </c>
      <c r="C2" s="190"/>
      <c r="D2" s="190"/>
      <c r="E2" s="190"/>
      <c r="F2" s="40"/>
    </row>
    <row r="3" spans="1:6" ht="21" customHeight="1" x14ac:dyDescent="0.35">
      <c r="A3" s="4" t="s">
        <v>3</v>
      </c>
      <c r="B3" s="190" t="str">
        <f>'Summary and sign-off'!B3:F3</f>
        <v>Peter Miskimmin</v>
      </c>
      <c r="C3" s="190"/>
      <c r="D3" s="190"/>
      <c r="E3" s="190"/>
      <c r="F3" s="40"/>
    </row>
    <row r="4" spans="1:6" ht="21" customHeight="1" x14ac:dyDescent="0.35">
      <c r="A4" s="4" t="s">
        <v>77</v>
      </c>
      <c r="B4" s="190">
        <f>'Summary and sign-off'!B4:F4</f>
        <v>43282</v>
      </c>
      <c r="C4" s="190"/>
      <c r="D4" s="190"/>
      <c r="E4" s="190"/>
      <c r="F4" s="40"/>
    </row>
    <row r="5" spans="1:6" ht="21" customHeight="1" x14ac:dyDescent="0.35">
      <c r="A5" s="4" t="s">
        <v>78</v>
      </c>
      <c r="B5" s="190">
        <f>'Summary and sign-off'!B5:F5</f>
        <v>43646</v>
      </c>
      <c r="C5" s="190"/>
      <c r="D5" s="190"/>
      <c r="E5" s="190"/>
      <c r="F5" s="40"/>
    </row>
    <row r="6" spans="1:6" ht="21" customHeight="1" x14ac:dyDescent="0.35">
      <c r="A6" s="4" t="s">
        <v>29</v>
      </c>
      <c r="B6" s="185" t="s">
        <v>28</v>
      </c>
      <c r="C6" s="185"/>
      <c r="D6" s="185"/>
      <c r="E6" s="185"/>
      <c r="F6" s="40"/>
    </row>
    <row r="7" spans="1:6" ht="21" customHeight="1" x14ac:dyDescent="0.35">
      <c r="A7" s="4" t="s">
        <v>104</v>
      </c>
      <c r="B7" s="185" t="s">
        <v>116</v>
      </c>
      <c r="C7" s="185"/>
      <c r="D7" s="185"/>
      <c r="E7" s="185"/>
      <c r="F7" s="40"/>
    </row>
    <row r="8" spans="1:6" ht="35.25" customHeight="1" x14ac:dyDescent="0.4">
      <c r="A8" s="200" t="s">
        <v>158</v>
      </c>
      <c r="B8" s="200"/>
      <c r="C8" s="201"/>
      <c r="D8" s="201"/>
      <c r="E8" s="201"/>
      <c r="F8" s="44"/>
    </row>
    <row r="9" spans="1:6" ht="35.25" customHeight="1" x14ac:dyDescent="0.4">
      <c r="A9" s="198" t="s">
        <v>135</v>
      </c>
      <c r="B9" s="199"/>
      <c r="C9" s="199"/>
      <c r="D9" s="199"/>
      <c r="E9" s="199"/>
      <c r="F9" s="44"/>
    </row>
    <row r="10" spans="1:6" ht="27" customHeight="1" x14ac:dyDescent="0.35">
      <c r="A10" s="156" t="s">
        <v>161</v>
      </c>
      <c r="B10" s="37" t="s">
        <v>31</v>
      </c>
      <c r="C10" s="37" t="s">
        <v>89</v>
      </c>
      <c r="D10" s="37" t="s">
        <v>87</v>
      </c>
      <c r="E10" s="37" t="s">
        <v>76</v>
      </c>
      <c r="F10" s="25"/>
    </row>
    <row r="11" spans="1:6" s="89" customFormat="1" hidden="1" x14ac:dyDescent="0.35">
      <c r="A11" s="157"/>
      <c r="B11" s="111"/>
      <c r="C11" s="116"/>
      <c r="D11" s="116"/>
      <c r="E11" s="117"/>
      <c r="F11" s="2"/>
    </row>
    <row r="12" spans="1:6" s="89" customFormat="1" x14ac:dyDescent="0.35">
      <c r="A12" s="158">
        <v>43293</v>
      </c>
      <c r="B12" s="162">
        <v>28.26</v>
      </c>
      <c r="C12" s="116" t="s">
        <v>252</v>
      </c>
      <c r="D12" s="116" t="s">
        <v>253</v>
      </c>
      <c r="E12" s="117" t="s">
        <v>254</v>
      </c>
      <c r="F12" s="2"/>
    </row>
    <row r="13" spans="1:6" s="89" customFormat="1" x14ac:dyDescent="0.35">
      <c r="A13" s="158">
        <v>43368</v>
      </c>
      <c r="B13" s="162">
        <v>11.3</v>
      </c>
      <c r="C13" s="116" t="s">
        <v>255</v>
      </c>
      <c r="D13" s="116" t="s">
        <v>256</v>
      </c>
      <c r="E13" s="117" t="s">
        <v>257</v>
      </c>
      <c r="F13" s="2"/>
    </row>
    <row r="14" spans="1:6" s="89" customFormat="1" x14ac:dyDescent="0.35">
      <c r="A14" s="158">
        <v>43446</v>
      </c>
      <c r="B14" s="162">
        <v>53.04</v>
      </c>
      <c r="C14" s="116" t="s">
        <v>258</v>
      </c>
      <c r="D14" s="116" t="s">
        <v>253</v>
      </c>
      <c r="E14" s="117" t="s">
        <v>257</v>
      </c>
      <c r="F14" s="2"/>
    </row>
    <row r="15" spans="1:6" s="166" customFormat="1" x14ac:dyDescent="0.35">
      <c r="A15" s="158">
        <v>43556</v>
      </c>
      <c r="B15" s="162">
        <v>21.3</v>
      </c>
      <c r="C15" s="116" t="s">
        <v>333</v>
      </c>
      <c r="D15" s="116" t="s">
        <v>253</v>
      </c>
      <c r="E15" s="117" t="s">
        <v>257</v>
      </c>
      <c r="F15" s="2"/>
    </row>
    <row r="16" spans="1:6" s="166" customFormat="1" x14ac:dyDescent="0.35">
      <c r="A16" s="158">
        <v>43567</v>
      </c>
      <c r="B16" s="162">
        <v>26.09</v>
      </c>
      <c r="C16" s="116" t="s">
        <v>258</v>
      </c>
      <c r="D16" s="116" t="s">
        <v>253</v>
      </c>
      <c r="E16" s="117" t="s">
        <v>257</v>
      </c>
      <c r="F16" s="2"/>
    </row>
    <row r="17" spans="1:6" s="166" customFormat="1" x14ac:dyDescent="0.35">
      <c r="A17" s="158">
        <v>43620</v>
      </c>
      <c r="B17" s="162">
        <v>638.26</v>
      </c>
      <c r="C17" s="116" t="s">
        <v>372</v>
      </c>
      <c r="D17" s="116" t="s">
        <v>345</v>
      </c>
      <c r="E17" s="117" t="s">
        <v>257</v>
      </c>
      <c r="F17" s="2"/>
    </row>
    <row r="18" spans="1:6" s="166" customFormat="1" x14ac:dyDescent="0.35">
      <c r="A18" s="158">
        <v>43637</v>
      </c>
      <c r="B18" s="162">
        <v>26.96</v>
      </c>
      <c r="C18" s="116" t="s">
        <v>333</v>
      </c>
      <c r="D18" s="116" t="s">
        <v>346</v>
      </c>
      <c r="E18" s="117" t="s">
        <v>257</v>
      </c>
      <c r="F18" s="2"/>
    </row>
    <row r="19" spans="1:6" s="166" customFormat="1" x14ac:dyDescent="0.35">
      <c r="A19" s="158">
        <v>43642</v>
      </c>
      <c r="B19" s="162">
        <v>8</v>
      </c>
      <c r="C19" s="116" t="s">
        <v>255</v>
      </c>
      <c r="D19" s="116" t="s">
        <v>347</v>
      </c>
      <c r="E19" s="117" t="s">
        <v>257</v>
      </c>
      <c r="F19" s="2"/>
    </row>
    <row r="20" spans="1:6" s="166" customFormat="1" x14ac:dyDescent="0.35">
      <c r="A20" s="174"/>
      <c r="B20" s="163"/>
      <c r="C20" s="171"/>
      <c r="D20" s="171"/>
      <c r="E20" s="172"/>
      <c r="F20" s="173"/>
    </row>
    <row r="21" spans="1:6" s="89" customFormat="1" ht="11.25" hidden="1" customHeight="1" x14ac:dyDescent="0.35">
      <c r="A21" s="110"/>
      <c r="B21" s="111"/>
      <c r="C21" s="116"/>
      <c r="D21" s="116"/>
      <c r="E21" s="117"/>
      <c r="F21" s="2"/>
    </row>
    <row r="22" spans="1:6" ht="34.5" customHeight="1" x14ac:dyDescent="0.35">
      <c r="A22" s="90" t="s">
        <v>129</v>
      </c>
      <c r="B22" s="102">
        <f>SUM(B11:B21)</f>
        <v>813.21</v>
      </c>
      <c r="C22" s="121" t="str">
        <f>IF(SUBTOTAL(3,B11:B21)=SUBTOTAL(103,B11:B21),'Summary and sign-off'!$A$47,'Summary and sign-off'!$A$48)</f>
        <v>Check - there are no hidden rows with data</v>
      </c>
      <c r="D22" s="191" t="str">
        <f>IF('Summary and sign-off'!F57='Summary and sign-off'!F53,'Summary and sign-off'!A50,'Summary and sign-off'!A49)</f>
        <v>Check - each entry provides sufficient information</v>
      </c>
      <c r="E22" s="191"/>
      <c r="F22" s="2"/>
    </row>
    <row r="23" spans="1:6" ht="13.15" x14ac:dyDescent="0.4">
      <c r="A23" s="23"/>
      <c r="B23" s="22"/>
      <c r="C23" s="22"/>
      <c r="D23" s="22"/>
      <c r="E23" s="22"/>
      <c r="F23" s="40"/>
    </row>
    <row r="24" spans="1:6" ht="13.15" x14ac:dyDescent="0.4">
      <c r="A24" s="23" t="s">
        <v>8</v>
      </c>
      <c r="B24" s="24"/>
      <c r="C24" s="29"/>
      <c r="D24" s="22"/>
      <c r="E24" s="22"/>
      <c r="F24" s="40"/>
    </row>
    <row r="25" spans="1:6" ht="12.75" customHeight="1" x14ac:dyDescent="0.35">
      <c r="A25" s="25" t="s">
        <v>160</v>
      </c>
      <c r="B25" s="25"/>
      <c r="C25" s="25"/>
      <c r="D25" s="25"/>
      <c r="E25" s="25"/>
      <c r="F25" s="40"/>
    </row>
    <row r="26" spans="1:6" x14ac:dyDescent="0.35">
      <c r="A26" s="25" t="s">
        <v>159</v>
      </c>
      <c r="B26" s="33"/>
      <c r="C26" s="45"/>
      <c r="D26" s="46"/>
      <c r="E26" s="46"/>
      <c r="F26" s="40"/>
    </row>
    <row r="27" spans="1:6" ht="13.15" x14ac:dyDescent="0.4">
      <c r="A27" s="25" t="s">
        <v>157</v>
      </c>
      <c r="B27" s="27"/>
      <c r="C27" s="28"/>
      <c r="D27" s="28"/>
      <c r="E27" s="28"/>
      <c r="F27" s="29"/>
    </row>
    <row r="28" spans="1:6" x14ac:dyDescent="0.35">
      <c r="A28" s="33" t="s">
        <v>13</v>
      </c>
      <c r="B28" s="33"/>
      <c r="C28" s="45"/>
      <c r="D28" s="45"/>
      <c r="E28" s="45"/>
      <c r="F28" s="40"/>
    </row>
    <row r="29" spans="1:6" ht="12.75" customHeight="1" x14ac:dyDescent="0.35">
      <c r="A29" s="33" t="s">
        <v>166</v>
      </c>
      <c r="B29" s="33"/>
      <c r="C29" s="47"/>
      <c r="D29" s="47"/>
      <c r="E29" s="35"/>
      <c r="F29" s="40"/>
    </row>
    <row r="30" spans="1:6" x14ac:dyDescent="0.35">
      <c r="A30" s="22"/>
      <c r="B30" s="22"/>
      <c r="C30" s="22"/>
      <c r="D30" s="22"/>
      <c r="E30" s="22"/>
      <c r="F30" s="40"/>
    </row>
    <row r="31" spans="1:6" hidden="1" x14ac:dyDescent="0.35"/>
    <row r="32" spans="1:6" hidden="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x14ac:dyDescent="0.35"/>
    <row r="50" x14ac:dyDescent="0.35"/>
    <row r="51" x14ac:dyDescent="0.35"/>
    <row r="52" x14ac:dyDescent="0.35"/>
    <row r="53" x14ac:dyDescent="0.35"/>
  </sheetData>
  <sheetProtection sheet="1" formatCells="0" insertRows="0" deleteRows="0"/>
  <mergeCells count="10">
    <mergeCell ref="D22:E22"/>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4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1" xr:uid="{00000000-0002-0000-04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6" fitToHeight="0" orientation="portrait"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M61"/>
  <sheetViews>
    <sheetView topLeftCell="A4" zoomScaleNormal="100" workbookViewId="0">
      <selection activeCell="B7" sqref="B7:E7"/>
    </sheetView>
  </sheetViews>
  <sheetFormatPr defaultColWidth="0" defaultRowHeight="12.75" zeroHeight="1" x14ac:dyDescent="0.35"/>
  <cols>
    <col min="1" max="1" width="35.73046875" style="17" customWidth="1"/>
    <col min="2" max="2" width="14.265625" style="17" customWidth="1"/>
    <col min="3" max="3" width="71.3984375" style="17" customWidth="1"/>
    <col min="4" max="4" width="50" style="17" customWidth="1"/>
    <col min="5" max="5" width="21.3984375" style="17" customWidth="1"/>
    <col min="6" max="6" width="36.86328125" style="17" customWidth="1"/>
    <col min="7" max="10" width="9.1328125" style="17" hidden="1" customWidth="1"/>
    <col min="11" max="13" width="0" style="17" hidden="1" customWidth="1"/>
    <col min="14" max="16384" width="9.1328125" style="17" hidden="1"/>
  </cols>
  <sheetData>
    <row r="1" spans="1:6" ht="26.25" customHeight="1" x14ac:dyDescent="0.35">
      <c r="A1" s="187" t="s">
        <v>6</v>
      </c>
      <c r="B1" s="187"/>
      <c r="C1" s="187"/>
      <c r="D1" s="187"/>
      <c r="E1" s="187"/>
      <c r="F1" s="26"/>
    </row>
    <row r="2" spans="1:6" ht="21" customHeight="1" x14ac:dyDescent="0.35">
      <c r="A2" s="4" t="s">
        <v>2</v>
      </c>
      <c r="B2" s="190" t="str">
        <f>'Summary and sign-off'!B2:F2</f>
        <v>Sport NZ</v>
      </c>
      <c r="C2" s="190"/>
      <c r="D2" s="190"/>
      <c r="E2" s="190"/>
      <c r="F2" s="26"/>
    </row>
    <row r="3" spans="1:6" ht="21" customHeight="1" x14ac:dyDescent="0.35">
      <c r="A3" s="4" t="s">
        <v>3</v>
      </c>
      <c r="B3" s="190" t="str">
        <f>'Summary and sign-off'!B3:F3</f>
        <v>Peter Miskimmin</v>
      </c>
      <c r="C3" s="190"/>
      <c r="D3" s="190"/>
      <c r="E3" s="190"/>
      <c r="F3" s="26"/>
    </row>
    <row r="4" spans="1:6" ht="21" customHeight="1" x14ac:dyDescent="0.35">
      <c r="A4" s="4" t="s">
        <v>77</v>
      </c>
      <c r="B4" s="190">
        <f>'Summary and sign-off'!B4:F4</f>
        <v>43282</v>
      </c>
      <c r="C4" s="190"/>
      <c r="D4" s="190"/>
      <c r="E4" s="190"/>
      <c r="F4" s="26"/>
    </row>
    <row r="5" spans="1:6" ht="21" customHeight="1" x14ac:dyDescent="0.35">
      <c r="A5" s="4" t="s">
        <v>78</v>
      </c>
      <c r="B5" s="190">
        <f>'Summary and sign-off'!B5:F5</f>
        <v>43646</v>
      </c>
      <c r="C5" s="190"/>
      <c r="D5" s="190"/>
      <c r="E5" s="190"/>
      <c r="F5" s="26"/>
    </row>
    <row r="6" spans="1:6" ht="21" customHeight="1" x14ac:dyDescent="0.35">
      <c r="A6" s="4" t="s">
        <v>29</v>
      </c>
      <c r="B6" s="185" t="s">
        <v>28</v>
      </c>
      <c r="C6" s="185"/>
      <c r="D6" s="185"/>
      <c r="E6" s="185"/>
      <c r="F6" s="36"/>
    </row>
    <row r="7" spans="1:6" ht="21" customHeight="1" x14ac:dyDescent="0.35">
      <c r="A7" s="4" t="s">
        <v>104</v>
      </c>
      <c r="B7" s="185" t="s">
        <v>116</v>
      </c>
      <c r="C7" s="185"/>
      <c r="D7" s="185"/>
      <c r="E7" s="185"/>
      <c r="F7" s="36"/>
    </row>
    <row r="8" spans="1:6" ht="35.25" customHeight="1" x14ac:dyDescent="0.35">
      <c r="A8" s="194" t="s">
        <v>0</v>
      </c>
      <c r="B8" s="194"/>
      <c r="C8" s="201"/>
      <c r="D8" s="201"/>
      <c r="E8" s="201"/>
      <c r="F8" s="26"/>
    </row>
    <row r="9" spans="1:6" ht="35.25" customHeight="1" x14ac:dyDescent="0.35">
      <c r="A9" s="202" t="s">
        <v>127</v>
      </c>
      <c r="B9" s="203"/>
      <c r="C9" s="203"/>
      <c r="D9" s="203"/>
      <c r="E9" s="203"/>
      <c r="F9" s="26"/>
    </row>
    <row r="10" spans="1:6" ht="27" customHeight="1" x14ac:dyDescent="0.35">
      <c r="A10" s="156" t="s">
        <v>49</v>
      </c>
      <c r="B10" s="37" t="s">
        <v>31</v>
      </c>
      <c r="C10" s="37" t="s">
        <v>51</v>
      </c>
      <c r="D10" s="37" t="s">
        <v>162</v>
      </c>
      <c r="E10" s="37" t="s">
        <v>76</v>
      </c>
      <c r="F10" s="38"/>
    </row>
    <row r="11" spans="1:6" s="89" customFormat="1" hidden="1" x14ac:dyDescent="0.35">
      <c r="A11" s="157"/>
      <c r="B11" s="111"/>
      <c r="C11" s="116"/>
      <c r="D11" s="116"/>
      <c r="E11" s="117"/>
      <c r="F11" s="3"/>
    </row>
    <row r="12" spans="1:6" s="89" customFormat="1" x14ac:dyDescent="0.35">
      <c r="A12" s="157">
        <v>43306</v>
      </c>
      <c r="B12" s="162">
        <v>49.89</v>
      </c>
      <c r="C12" s="116" t="s">
        <v>260</v>
      </c>
      <c r="D12" s="116"/>
      <c r="E12" s="117"/>
      <c r="F12" s="3"/>
    </row>
    <row r="13" spans="1:6" s="89" customFormat="1" x14ac:dyDescent="0.35">
      <c r="A13" s="157">
        <v>43337</v>
      </c>
      <c r="B13" s="162">
        <v>49.58</v>
      </c>
      <c r="C13" s="116"/>
      <c r="D13" s="116"/>
      <c r="E13" s="117"/>
      <c r="F13" s="3"/>
    </row>
    <row r="14" spans="1:6" s="89" customFormat="1" x14ac:dyDescent="0.35">
      <c r="A14" s="157">
        <v>43368</v>
      </c>
      <c r="B14" s="162">
        <v>49.27</v>
      </c>
      <c r="C14" s="116"/>
      <c r="D14" s="116"/>
      <c r="E14" s="117"/>
      <c r="F14" s="3"/>
    </row>
    <row r="15" spans="1:6" s="89" customFormat="1" x14ac:dyDescent="0.35">
      <c r="A15" s="157">
        <v>43398</v>
      </c>
      <c r="B15" s="162">
        <v>49.010000000000005</v>
      </c>
      <c r="C15" s="116"/>
      <c r="D15" s="116"/>
      <c r="E15" s="117"/>
      <c r="F15" s="3"/>
    </row>
    <row r="16" spans="1:6" s="89" customFormat="1" x14ac:dyDescent="0.35">
      <c r="A16" s="157">
        <v>43429</v>
      </c>
      <c r="B16" s="162">
        <v>109.66</v>
      </c>
      <c r="C16" s="116"/>
      <c r="D16" s="116" t="s">
        <v>261</v>
      </c>
      <c r="E16" s="117"/>
      <c r="F16" s="3"/>
    </row>
    <row r="17" spans="1:6" s="89" customFormat="1" x14ac:dyDescent="0.35">
      <c r="A17" s="157">
        <v>43459</v>
      </c>
      <c r="B17" s="162">
        <v>48.04</v>
      </c>
      <c r="C17" s="116"/>
      <c r="D17" s="116"/>
      <c r="E17" s="117"/>
      <c r="F17" s="3"/>
    </row>
    <row r="18" spans="1:6" s="89" customFormat="1" x14ac:dyDescent="0.35">
      <c r="A18" s="157">
        <v>43490</v>
      </c>
      <c r="B18" s="162">
        <v>47.52</v>
      </c>
      <c r="C18" s="116"/>
      <c r="D18" s="116"/>
      <c r="E18" s="117"/>
      <c r="F18" s="3"/>
    </row>
    <row r="19" spans="1:6" s="166" customFormat="1" x14ac:dyDescent="0.35">
      <c r="A19" s="157">
        <v>43521</v>
      </c>
      <c r="B19" s="162">
        <f>47.26+2.98</f>
        <v>50.239999999999995</v>
      </c>
      <c r="C19" s="116"/>
      <c r="D19" s="116"/>
      <c r="E19" s="117"/>
      <c r="F19" s="175"/>
    </row>
    <row r="20" spans="1:6" s="166" customFormat="1" x14ac:dyDescent="0.35">
      <c r="A20" s="157">
        <v>43549</v>
      </c>
      <c r="B20" s="162">
        <f>47.52+30.75</f>
        <v>78.27000000000001</v>
      </c>
      <c r="C20" s="116"/>
      <c r="D20" s="116"/>
      <c r="E20" s="117"/>
      <c r="F20" s="175"/>
    </row>
    <row r="21" spans="1:6" s="166" customFormat="1" x14ac:dyDescent="0.35">
      <c r="A21" s="157">
        <v>43580</v>
      </c>
      <c r="B21" s="162">
        <f>15+46.49+0.51</f>
        <v>62</v>
      </c>
      <c r="C21" s="116"/>
      <c r="D21" s="116" t="s">
        <v>330</v>
      </c>
      <c r="E21" s="117"/>
      <c r="F21" s="175"/>
    </row>
    <row r="22" spans="1:6" s="166" customFormat="1" x14ac:dyDescent="0.35">
      <c r="A22" s="157">
        <v>43610</v>
      </c>
      <c r="B22" s="162">
        <v>45.53</v>
      </c>
      <c r="C22" s="116"/>
      <c r="D22" s="116"/>
      <c r="E22" s="117"/>
      <c r="F22" s="175"/>
    </row>
    <row r="23" spans="1:6" s="166" customFormat="1" x14ac:dyDescent="0.35">
      <c r="A23" s="158">
        <v>43641</v>
      </c>
      <c r="B23" s="162">
        <f>15+45.52</f>
        <v>60.52</v>
      </c>
      <c r="C23" s="116"/>
      <c r="D23" s="116" t="s">
        <v>355</v>
      </c>
      <c r="E23" s="117"/>
      <c r="F23" s="175"/>
    </row>
    <row r="24" spans="1:6" s="166" customFormat="1" x14ac:dyDescent="0.35">
      <c r="A24" s="170"/>
      <c r="B24" s="163"/>
      <c r="C24" s="171"/>
      <c r="D24" s="171"/>
      <c r="E24" s="172"/>
      <c r="F24" s="175"/>
    </row>
    <row r="25" spans="1:6" s="166" customFormat="1" x14ac:dyDescent="0.35">
      <c r="A25" s="174"/>
      <c r="B25" s="163"/>
      <c r="C25" s="171"/>
      <c r="D25" s="171"/>
      <c r="E25" s="172"/>
      <c r="F25" s="175"/>
    </row>
    <row r="26" spans="1:6" s="89" customFormat="1" hidden="1" x14ac:dyDescent="0.35">
      <c r="A26" s="157"/>
      <c r="B26" s="111"/>
      <c r="C26" s="116"/>
      <c r="D26" s="116"/>
      <c r="E26" s="117"/>
      <c r="F26" s="3"/>
    </row>
    <row r="27" spans="1:6" ht="34.5" customHeight="1" x14ac:dyDescent="0.35">
      <c r="A27" s="159" t="s">
        <v>136</v>
      </c>
      <c r="B27" s="102">
        <f>SUM(B11:B26)</f>
        <v>699.53</v>
      </c>
      <c r="C27" s="121" t="str">
        <f>IF(SUBTOTAL(3,B11:B26)=SUBTOTAL(103,B11:B26),'Summary and sign-off'!$A$47,'Summary and sign-off'!$A$48)</f>
        <v>Check - there are no hidden rows with data</v>
      </c>
      <c r="D27" s="191" t="str">
        <f>IF('Summary and sign-off'!F58='Summary and sign-off'!F53,'Summary and sign-off'!A50,'Summary and sign-off'!A49)</f>
        <v>Not all lines have an entry for "Cost in NZ$" and "Type of expense"</v>
      </c>
      <c r="E27" s="191"/>
      <c r="F27" s="39"/>
    </row>
    <row r="28" spans="1:6" ht="14.1" customHeight="1" x14ac:dyDescent="0.35">
      <c r="A28" s="40"/>
      <c r="B28" s="29"/>
      <c r="C28" s="22"/>
      <c r="D28" s="22"/>
      <c r="E28" s="22"/>
      <c r="F28" s="26"/>
    </row>
    <row r="29" spans="1:6" ht="13.15" x14ac:dyDescent="0.4">
      <c r="A29" s="23" t="s">
        <v>7</v>
      </c>
      <c r="B29" s="22"/>
      <c r="C29" s="22"/>
      <c r="D29" s="22"/>
      <c r="E29" s="22"/>
      <c r="F29" s="26"/>
    </row>
    <row r="30" spans="1:6" ht="12.6" customHeight="1" x14ac:dyDescent="0.35">
      <c r="A30" s="25" t="s">
        <v>50</v>
      </c>
      <c r="B30" s="22"/>
      <c r="C30" s="22"/>
      <c r="D30" s="22"/>
      <c r="E30" s="22"/>
      <c r="F30" s="26"/>
    </row>
    <row r="31" spans="1:6" ht="13.15" x14ac:dyDescent="0.4">
      <c r="A31" s="25" t="s">
        <v>157</v>
      </c>
      <c r="B31" s="27"/>
      <c r="C31" s="28"/>
      <c r="D31" s="28"/>
      <c r="E31" s="28"/>
      <c r="F31" s="29"/>
    </row>
    <row r="32" spans="1:6" x14ac:dyDescent="0.35">
      <c r="A32" s="33" t="s">
        <v>13</v>
      </c>
      <c r="B32" s="34"/>
      <c r="C32" s="29"/>
      <c r="D32" s="29"/>
      <c r="E32" s="29"/>
      <c r="F32" s="29"/>
    </row>
    <row r="33" spans="1:6" ht="12.75" customHeight="1" x14ac:dyDescent="0.35">
      <c r="A33" s="33" t="s">
        <v>166</v>
      </c>
      <c r="B33" s="41"/>
      <c r="C33" s="35"/>
      <c r="D33" s="35"/>
      <c r="E33" s="35"/>
      <c r="F33" s="35"/>
    </row>
    <row r="34" spans="1:6" x14ac:dyDescent="0.35">
      <c r="A34" s="40"/>
      <c r="B34" s="42"/>
      <c r="C34" s="22"/>
      <c r="D34" s="22"/>
      <c r="E34" s="22"/>
      <c r="F34" s="40"/>
    </row>
    <row r="35" spans="1:6" hidden="1" x14ac:dyDescent="0.35">
      <c r="A35" s="22"/>
      <c r="B35" s="22"/>
      <c r="C35" s="22"/>
      <c r="D35" s="22"/>
      <c r="E35" s="40"/>
    </row>
    <row r="36" spans="1:6" ht="12.75" hidden="1" customHeight="1" x14ac:dyDescent="0.35"/>
    <row r="37" spans="1:6" hidden="1" x14ac:dyDescent="0.35">
      <c r="A37" s="43"/>
      <c r="B37" s="43"/>
      <c r="C37" s="43"/>
      <c r="D37" s="43"/>
      <c r="E37" s="43"/>
      <c r="F37" s="26"/>
    </row>
    <row r="38" spans="1:6" hidden="1" x14ac:dyDescent="0.35">
      <c r="A38" s="43"/>
      <c r="B38" s="43"/>
      <c r="C38" s="43"/>
      <c r="D38" s="43"/>
      <c r="E38" s="43"/>
      <c r="F38" s="26"/>
    </row>
    <row r="39" spans="1:6" hidden="1" x14ac:dyDescent="0.35">
      <c r="A39" s="43"/>
      <c r="B39" s="43"/>
      <c r="C39" s="43"/>
      <c r="D39" s="43"/>
      <c r="E39" s="43"/>
      <c r="F39" s="26"/>
    </row>
    <row r="40" spans="1:6" hidden="1" x14ac:dyDescent="0.35">
      <c r="A40" s="43"/>
      <c r="B40" s="43"/>
      <c r="C40" s="43"/>
      <c r="D40" s="43"/>
      <c r="E40" s="43"/>
      <c r="F40" s="26"/>
    </row>
    <row r="41" spans="1:6" hidden="1" x14ac:dyDescent="0.35">
      <c r="A41" s="43"/>
      <c r="B41" s="43"/>
      <c r="C41" s="43"/>
      <c r="D41" s="43"/>
      <c r="E41" s="43"/>
      <c r="F41" s="26"/>
    </row>
    <row r="42" spans="1:6" hidden="1" x14ac:dyDescent="0.35"/>
    <row r="43" spans="1:6" hidden="1" x14ac:dyDescent="0.35"/>
    <row r="44" spans="1:6" hidden="1" x14ac:dyDescent="0.35"/>
    <row r="45" spans="1:6" hidden="1" x14ac:dyDescent="0.35"/>
    <row r="46" spans="1:6" hidden="1" x14ac:dyDescent="0.35"/>
    <row r="47" spans="1:6" hidden="1" x14ac:dyDescent="0.35"/>
    <row r="48" spans="1:6" hidden="1" x14ac:dyDescent="0.35"/>
    <row r="49" hidden="1" x14ac:dyDescent="0.35"/>
    <row r="50" hidden="1" x14ac:dyDescent="0.35"/>
    <row r="51" hidden="1" x14ac:dyDescent="0.35"/>
    <row r="52" hidden="1" x14ac:dyDescent="0.35"/>
    <row r="53" x14ac:dyDescent="0.35"/>
    <row r="54" x14ac:dyDescent="0.35"/>
    <row r="55" x14ac:dyDescent="0.35"/>
    <row r="56" x14ac:dyDescent="0.35"/>
    <row r="57" x14ac:dyDescent="0.35"/>
    <row r="58" x14ac:dyDescent="0.35"/>
    <row r="59" x14ac:dyDescent="0.35"/>
    <row r="60" x14ac:dyDescent="0.35"/>
    <row r="61" x14ac:dyDescent="0.35"/>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xWindow="150" yWindow="801"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6"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6" fitToHeight="0" orientation="portrait"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50" yWindow="80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3000000}">
          <x14:formula1>
            <xm:f>'Summary and sign-off'!$A$29:$A$30</xm:f>
          </x14:formula1>
          <xm:sqref>B7:E7</xm:sqref>
        </x14:dataValidation>
        <x14:dataValidation type="decimal" operator="greaterThan" allowBlank="1" showInputMessage="1" showErrorMessage="1" error="This cell must contain a dollar figure" xr:uid="{00000000-0002-0000-0500-000004000000}">
          <x14:formula1>
            <xm:f>'Summary and sign-off'!$A$46</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A1:J80"/>
  <sheetViews>
    <sheetView zoomScaleNormal="100" workbookViewId="0">
      <selection activeCell="F17" sqref="F17"/>
    </sheetView>
  </sheetViews>
  <sheetFormatPr defaultColWidth="0" defaultRowHeight="12.75" zeroHeight="1" x14ac:dyDescent="0.35"/>
  <cols>
    <col min="1" max="1" width="35.73046875" style="17" customWidth="1"/>
    <col min="2" max="2" width="46.86328125" style="17" customWidth="1"/>
    <col min="3" max="3" width="22.1328125" style="17" customWidth="1"/>
    <col min="4" max="4" width="25.3984375" style="17" customWidth="1"/>
    <col min="5" max="6" width="35.73046875" style="17" customWidth="1"/>
    <col min="7" max="7" width="38" style="17" customWidth="1"/>
    <col min="8" max="10" width="9.1328125" style="17" hidden="1" customWidth="1"/>
    <col min="11" max="15" width="0" style="17" hidden="1" customWidth="1"/>
    <col min="16" max="16384" width="0" style="17" hidden="1"/>
  </cols>
  <sheetData>
    <row r="1" spans="1:6" ht="26.25" customHeight="1" x14ac:dyDescent="0.35">
      <c r="A1" s="187" t="s">
        <v>32</v>
      </c>
      <c r="B1" s="187"/>
      <c r="C1" s="187"/>
      <c r="D1" s="187"/>
      <c r="E1" s="187"/>
      <c r="F1" s="187"/>
    </row>
    <row r="2" spans="1:6" ht="21" customHeight="1" x14ac:dyDescent="0.35">
      <c r="A2" s="4" t="s">
        <v>2</v>
      </c>
      <c r="B2" s="190" t="str">
        <f>'Summary and sign-off'!B2:F2</f>
        <v>Sport NZ</v>
      </c>
      <c r="C2" s="190"/>
      <c r="D2" s="190"/>
      <c r="E2" s="190"/>
      <c r="F2" s="190"/>
    </row>
    <row r="3" spans="1:6" ht="21" customHeight="1" x14ac:dyDescent="0.35">
      <c r="A3" s="4" t="s">
        <v>3</v>
      </c>
      <c r="B3" s="190" t="str">
        <f>'Summary and sign-off'!B3:F3</f>
        <v>Peter Miskimmin</v>
      </c>
      <c r="C3" s="190"/>
      <c r="D3" s="190"/>
      <c r="E3" s="190"/>
      <c r="F3" s="190"/>
    </row>
    <row r="4" spans="1:6" ht="21" customHeight="1" x14ac:dyDescent="0.35">
      <c r="A4" s="4" t="s">
        <v>77</v>
      </c>
      <c r="B4" s="190">
        <f>'Summary and sign-off'!B4:F4</f>
        <v>43282</v>
      </c>
      <c r="C4" s="190"/>
      <c r="D4" s="190"/>
      <c r="E4" s="190"/>
      <c r="F4" s="190"/>
    </row>
    <row r="5" spans="1:6" ht="21" customHeight="1" x14ac:dyDescent="0.35">
      <c r="A5" s="4" t="s">
        <v>78</v>
      </c>
      <c r="B5" s="190">
        <f>'Summary and sign-off'!B5:F5</f>
        <v>43646</v>
      </c>
      <c r="C5" s="190"/>
      <c r="D5" s="190"/>
      <c r="E5" s="190"/>
      <c r="F5" s="190"/>
    </row>
    <row r="6" spans="1:6" ht="21" customHeight="1" x14ac:dyDescent="0.35">
      <c r="A6" s="4" t="s">
        <v>167</v>
      </c>
      <c r="B6" s="185" t="s">
        <v>28</v>
      </c>
      <c r="C6" s="185"/>
      <c r="D6" s="185"/>
      <c r="E6" s="185"/>
      <c r="F6" s="185"/>
    </row>
    <row r="7" spans="1:6" ht="21" customHeight="1" x14ac:dyDescent="0.35">
      <c r="A7" s="4" t="s">
        <v>104</v>
      </c>
      <c r="B7" s="185" t="s">
        <v>116</v>
      </c>
      <c r="C7" s="185"/>
      <c r="D7" s="185"/>
      <c r="E7" s="185"/>
      <c r="F7" s="185"/>
    </row>
    <row r="8" spans="1:6" ht="36" customHeight="1" x14ac:dyDescent="0.35">
      <c r="A8" s="194" t="s">
        <v>52</v>
      </c>
      <c r="B8" s="194"/>
      <c r="C8" s="194"/>
      <c r="D8" s="194"/>
      <c r="E8" s="194"/>
      <c r="F8" s="194"/>
    </row>
    <row r="9" spans="1:6" ht="36" customHeight="1" x14ac:dyDescent="0.35">
      <c r="A9" s="202" t="s">
        <v>134</v>
      </c>
      <c r="B9" s="203"/>
      <c r="C9" s="203"/>
      <c r="D9" s="203"/>
      <c r="E9" s="203"/>
      <c r="F9" s="203"/>
    </row>
    <row r="10" spans="1:6" ht="39" customHeight="1" x14ac:dyDescent="0.35">
      <c r="A10" s="18" t="s">
        <v>49</v>
      </c>
      <c r="B10" s="9" t="s">
        <v>163</v>
      </c>
      <c r="C10" s="9" t="s">
        <v>82</v>
      </c>
      <c r="D10" s="9" t="s">
        <v>33</v>
      </c>
      <c r="E10" s="9" t="s">
        <v>83</v>
      </c>
      <c r="F10" s="9" t="s">
        <v>126</v>
      </c>
    </row>
    <row r="11" spans="1:6" s="89" customFormat="1" hidden="1" x14ac:dyDescent="0.35">
      <c r="A11" s="114"/>
      <c r="B11" s="116"/>
      <c r="C11" s="120"/>
      <c r="D11" s="116"/>
      <c r="E11" s="118"/>
      <c r="F11" s="117"/>
    </row>
    <row r="12" spans="1:6" s="166" customFormat="1" x14ac:dyDescent="0.35">
      <c r="A12" s="167">
        <v>43337</v>
      </c>
      <c r="B12" s="176" t="s">
        <v>279</v>
      </c>
      <c r="C12" s="177" t="s">
        <v>36</v>
      </c>
      <c r="D12" s="176" t="s">
        <v>264</v>
      </c>
      <c r="E12" s="178" t="s">
        <v>41</v>
      </c>
      <c r="F12" s="179"/>
    </row>
    <row r="13" spans="1:6" s="166" customFormat="1" x14ac:dyDescent="0.35">
      <c r="A13" s="167">
        <v>43358</v>
      </c>
      <c r="B13" s="176" t="s">
        <v>280</v>
      </c>
      <c r="C13" s="177" t="s">
        <v>36</v>
      </c>
      <c r="D13" s="176" t="s">
        <v>264</v>
      </c>
      <c r="E13" s="178" t="s">
        <v>41</v>
      </c>
      <c r="F13" s="179"/>
    </row>
    <row r="14" spans="1:6" s="166" customFormat="1" x14ac:dyDescent="0.35">
      <c r="A14" s="167">
        <v>43436</v>
      </c>
      <c r="B14" s="176" t="s">
        <v>273</v>
      </c>
      <c r="C14" s="177" t="s">
        <v>34</v>
      </c>
      <c r="D14" s="176" t="s">
        <v>274</v>
      </c>
      <c r="E14" s="178"/>
      <c r="F14" s="179"/>
    </row>
    <row r="15" spans="1:6" s="166" customFormat="1" x14ac:dyDescent="0.35">
      <c r="A15" s="167">
        <v>43447</v>
      </c>
      <c r="B15" s="176" t="s">
        <v>276</v>
      </c>
      <c r="C15" s="177" t="s">
        <v>34</v>
      </c>
      <c r="D15" s="176" t="s">
        <v>264</v>
      </c>
      <c r="E15" s="178"/>
      <c r="F15" s="179"/>
    </row>
    <row r="16" spans="1:6" s="166" customFormat="1" x14ac:dyDescent="0.35">
      <c r="A16" s="167">
        <v>43449</v>
      </c>
      <c r="B16" s="176" t="s">
        <v>275</v>
      </c>
      <c r="C16" s="177" t="s">
        <v>34</v>
      </c>
      <c r="D16" s="176" t="s">
        <v>269</v>
      </c>
      <c r="E16" s="178"/>
      <c r="F16" s="179"/>
    </row>
    <row r="17" spans="1:7" s="166" customFormat="1" x14ac:dyDescent="0.35">
      <c r="A17" s="167">
        <v>43478</v>
      </c>
      <c r="B17" s="176" t="s">
        <v>259</v>
      </c>
      <c r="C17" s="177" t="s">
        <v>34</v>
      </c>
      <c r="D17" s="176" t="s">
        <v>270</v>
      </c>
      <c r="E17" s="178"/>
      <c r="F17" s="179"/>
    </row>
    <row r="18" spans="1:7" s="166" customFormat="1" x14ac:dyDescent="0.35">
      <c r="A18" s="167">
        <v>43491</v>
      </c>
      <c r="B18" s="176" t="s">
        <v>265</v>
      </c>
      <c r="C18" s="177" t="s">
        <v>34</v>
      </c>
      <c r="D18" s="176" t="s">
        <v>264</v>
      </c>
      <c r="E18" s="178"/>
      <c r="F18" s="179"/>
    </row>
    <row r="19" spans="1:7" s="166" customFormat="1" x14ac:dyDescent="0.35">
      <c r="A19" s="167">
        <v>43498</v>
      </c>
      <c r="B19" s="176" t="s">
        <v>278</v>
      </c>
      <c r="C19" s="177" t="s">
        <v>34</v>
      </c>
      <c r="D19" s="176" t="s">
        <v>271</v>
      </c>
      <c r="E19" s="178"/>
      <c r="F19" s="179"/>
    </row>
    <row r="20" spans="1:7" s="166" customFormat="1" x14ac:dyDescent="0.35">
      <c r="A20" s="167">
        <v>43502</v>
      </c>
      <c r="B20" s="176" t="s">
        <v>267</v>
      </c>
      <c r="C20" s="177" t="s">
        <v>34</v>
      </c>
      <c r="D20" s="176" t="s">
        <v>269</v>
      </c>
      <c r="E20" s="178"/>
      <c r="F20" s="179"/>
    </row>
    <row r="21" spans="1:7" s="166" customFormat="1" x14ac:dyDescent="0.35">
      <c r="A21" s="167">
        <v>43511</v>
      </c>
      <c r="B21" s="176" t="s">
        <v>277</v>
      </c>
      <c r="C21" s="177" t="s">
        <v>34</v>
      </c>
      <c r="D21" s="176" t="s">
        <v>272</v>
      </c>
      <c r="E21" s="178"/>
      <c r="F21" s="179"/>
    </row>
    <row r="22" spans="1:7" s="166" customFormat="1" x14ac:dyDescent="0.35">
      <c r="A22" s="167">
        <v>43524</v>
      </c>
      <c r="B22" s="176" t="s">
        <v>266</v>
      </c>
      <c r="C22" s="177" t="s">
        <v>34</v>
      </c>
      <c r="D22" s="176" t="s">
        <v>281</v>
      </c>
      <c r="E22" s="178"/>
      <c r="F22" s="179"/>
    </row>
    <row r="23" spans="1:7" s="166" customFormat="1" x14ac:dyDescent="0.35">
      <c r="A23" s="167">
        <v>43545</v>
      </c>
      <c r="B23" s="176" t="s">
        <v>268</v>
      </c>
      <c r="C23" s="177" t="s">
        <v>36</v>
      </c>
      <c r="D23" s="176" t="s">
        <v>269</v>
      </c>
      <c r="E23" s="178" t="s">
        <v>41</v>
      </c>
      <c r="F23" s="179"/>
    </row>
    <row r="24" spans="1:7" s="166" customFormat="1" x14ac:dyDescent="0.35">
      <c r="A24" s="167"/>
      <c r="B24" s="176"/>
      <c r="C24" s="177"/>
      <c r="D24" s="176"/>
      <c r="E24" s="178"/>
      <c r="F24" s="179"/>
    </row>
    <row r="25" spans="1:7" s="166" customFormat="1" x14ac:dyDescent="0.35">
      <c r="A25" s="167"/>
      <c r="B25" s="176"/>
      <c r="C25" s="177"/>
      <c r="D25" s="176"/>
      <c r="E25" s="178"/>
      <c r="F25" s="179"/>
    </row>
    <row r="26" spans="1:7" s="89" customFormat="1" hidden="1" x14ac:dyDescent="0.35">
      <c r="A26" s="114"/>
      <c r="B26" s="116"/>
      <c r="C26" s="120"/>
      <c r="D26" s="116"/>
      <c r="E26" s="118"/>
      <c r="F26" s="117"/>
    </row>
    <row r="27" spans="1:7" ht="34.5" customHeight="1" x14ac:dyDescent="0.35">
      <c r="A27" s="91" t="s">
        <v>164</v>
      </c>
      <c r="B27" s="92" t="s">
        <v>35</v>
      </c>
      <c r="C27" s="93">
        <f>C28+C29</f>
        <v>12</v>
      </c>
      <c r="D27" s="129" t="str">
        <f>IF(SUBTOTAL(3,C11:C26)=SUBTOTAL(103,C11:C26),'Summary and sign-off'!$A$47,'Summary and sign-off'!$A$48)</f>
        <v>Check - there are no hidden rows with data</v>
      </c>
      <c r="E27" s="204" t="str">
        <f>IF('Summary and sign-off'!F59='Summary and sign-off'!F53,'Summary and sign-off'!A51,'Summary and sign-off'!A49)</f>
        <v>Not all lines have an entry for "Description", "Was the gift accepted?" and "Estimated value in NZ$"</v>
      </c>
      <c r="F27" s="204"/>
      <c r="G27" s="89"/>
    </row>
    <row r="28" spans="1:7" ht="25.5" customHeight="1" x14ac:dyDescent="0.4">
      <c r="A28" s="94"/>
      <c r="B28" s="95" t="s">
        <v>36</v>
      </c>
      <c r="C28" s="96">
        <f>COUNTIF(C11:C26,'Summary and sign-off'!A44)</f>
        <v>3</v>
      </c>
      <c r="D28" s="19"/>
      <c r="E28" s="20"/>
      <c r="F28" s="21"/>
    </row>
    <row r="29" spans="1:7" ht="25.5" customHeight="1" x14ac:dyDescent="0.4">
      <c r="A29" s="94"/>
      <c r="B29" s="95" t="s">
        <v>34</v>
      </c>
      <c r="C29" s="96">
        <f>COUNTIF(C11:C26,'Summary and sign-off'!A45)</f>
        <v>9</v>
      </c>
      <c r="D29" s="19"/>
      <c r="E29" s="20"/>
      <c r="F29" s="21"/>
    </row>
    <row r="30" spans="1:7" ht="13.15" x14ac:dyDescent="0.4">
      <c r="A30" s="22"/>
      <c r="B30" s="23"/>
      <c r="C30" s="22"/>
      <c r="D30" s="24"/>
      <c r="E30" s="24"/>
      <c r="F30" s="22"/>
    </row>
    <row r="31" spans="1:7" ht="13.15" x14ac:dyDescent="0.4">
      <c r="A31" s="23" t="s">
        <v>7</v>
      </c>
      <c r="B31" s="23"/>
      <c r="C31" s="23"/>
      <c r="D31" s="23"/>
      <c r="E31" s="23"/>
      <c r="F31" s="23"/>
    </row>
    <row r="32" spans="1:7" ht="12.6" customHeight="1" x14ac:dyDescent="0.35">
      <c r="A32" s="25" t="s">
        <v>50</v>
      </c>
      <c r="B32" s="22"/>
      <c r="C32" s="22"/>
      <c r="D32" s="22"/>
      <c r="E32" s="22"/>
      <c r="F32" s="26"/>
    </row>
    <row r="33" spans="1:6" ht="13.15" x14ac:dyDescent="0.4">
      <c r="A33" s="25" t="s">
        <v>157</v>
      </c>
      <c r="B33" s="27"/>
      <c r="C33" s="28"/>
      <c r="D33" s="28"/>
      <c r="E33" s="28"/>
      <c r="F33" s="29"/>
    </row>
    <row r="34" spans="1:6" ht="13.15" x14ac:dyDescent="0.4">
      <c r="A34" s="25" t="s">
        <v>15</v>
      </c>
      <c r="B34" s="30"/>
      <c r="C34" s="30"/>
      <c r="D34" s="30"/>
      <c r="E34" s="30"/>
      <c r="F34" s="30"/>
    </row>
    <row r="35" spans="1:6" ht="12.75" customHeight="1" x14ac:dyDescent="0.35">
      <c r="A35" s="25" t="s">
        <v>93</v>
      </c>
      <c r="B35" s="22"/>
      <c r="C35" s="22"/>
      <c r="D35" s="22"/>
      <c r="E35" s="22"/>
      <c r="F35" s="22"/>
    </row>
    <row r="36" spans="1:6" ht="12.95" customHeight="1" x14ac:dyDescent="0.35">
      <c r="A36" s="31" t="s">
        <v>37</v>
      </c>
      <c r="B36" s="32"/>
      <c r="C36" s="32"/>
      <c r="D36" s="32"/>
      <c r="E36" s="32"/>
      <c r="F36" s="32"/>
    </row>
    <row r="37" spans="1:6" x14ac:dyDescent="0.35">
      <c r="A37" s="33" t="s">
        <v>53</v>
      </c>
      <c r="B37" s="34"/>
      <c r="C37" s="29"/>
      <c r="D37" s="29"/>
      <c r="E37" s="29"/>
      <c r="F37" s="29"/>
    </row>
    <row r="38" spans="1:6" ht="12.75" customHeight="1" x14ac:dyDescent="0.35">
      <c r="A38" s="33" t="s">
        <v>166</v>
      </c>
      <c r="B38" s="25"/>
      <c r="C38" s="35"/>
      <c r="D38" s="35"/>
      <c r="E38" s="35"/>
      <c r="F38" s="35"/>
    </row>
    <row r="39" spans="1:6" ht="12.75" customHeight="1" x14ac:dyDescent="0.35">
      <c r="A39" s="25"/>
      <c r="B39" s="25"/>
      <c r="C39" s="35"/>
      <c r="D39" s="35"/>
      <c r="E39" s="35"/>
      <c r="F39" s="35"/>
    </row>
    <row r="40" spans="1:6" ht="12.75" hidden="1" customHeight="1" x14ac:dyDescent="0.35">
      <c r="A40" s="25"/>
      <c r="B40" s="25"/>
      <c r="C40" s="35"/>
      <c r="D40" s="35"/>
      <c r="E40" s="35"/>
      <c r="F40" s="35"/>
    </row>
    <row r="41" spans="1:6" hidden="1" x14ac:dyDescent="0.35"/>
    <row r="42" spans="1:6" hidden="1" x14ac:dyDescent="0.35"/>
    <row r="43" spans="1:6" ht="13.15" hidden="1" x14ac:dyDescent="0.4">
      <c r="A43" s="23"/>
      <c r="B43" s="23"/>
      <c r="C43" s="23"/>
      <c r="D43" s="23"/>
      <c r="E43" s="23"/>
      <c r="F43" s="23"/>
    </row>
    <row r="44" spans="1:6" ht="13.15" hidden="1" x14ac:dyDescent="0.4">
      <c r="A44" s="23"/>
      <c r="B44" s="23"/>
      <c r="C44" s="23"/>
      <c r="D44" s="23"/>
      <c r="E44" s="23"/>
      <c r="F44" s="23"/>
    </row>
    <row r="45" spans="1:6" ht="13.15" hidden="1" x14ac:dyDescent="0.4">
      <c r="A45" s="23"/>
      <c r="B45" s="23"/>
      <c r="C45" s="23"/>
      <c r="D45" s="23"/>
      <c r="E45" s="23"/>
      <c r="F45" s="23"/>
    </row>
    <row r="46" spans="1:6" ht="13.15" hidden="1" x14ac:dyDescent="0.4">
      <c r="A46" s="23"/>
      <c r="B46" s="23"/>
      <c r="C46" s="23"/>
      <c r="D46" s="23"/>
      <c r="E46" s="23"/>
      <c r="F46" s="23"/>
    </row>
    <row r="47" spans="1:6" ht="13.15" hidden="1" x14ac:dyDescent="0.4">
      <c r="A47" s="23"/>
      <c r="B47" s="23"/>
      <c r="C47" s="23"/>
      <c r="D47" s="23"/>
      <c r="E47" s="23"/>
      <c r="F47" s="23"/>
    </row>
    <row r="48" spans="1:6"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sheetData>
  <sheetProtection sheet="1" formatCells="0" insertRows="0" deleteRows="0"/>
  <mergeCells count="10">
    <mergeCell ref="E27:F27"/>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6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6" xr:uid="{00000000-0002-0000-0600-000001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44" fitToHeight="0" orientation="portrait"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600-000002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600-000003000000}">
          <x14:formula1>
            <xm:f>'Summary and sign-off'!$A$29:$A$30</xm:f>
          </x14:formula1>
          <xm:sqref>B7:F7</xm:sqref>
        </x14:dataValidation>
        <x14:dataValidation type="list" allowBlank="1" showInputMessage="1" showErrorMessage="1" error="Use the drop down list (at the right of the cell)" xr:uid="{00000000-0002-0000-0600-000004000000}">
          <x14:formula1>
            <xm:f>'Summary and sign-off'!$A$44:$A$45</xm:f>
          </x14:formula1>
          <xm:sqref>C11:C26</xm:sqref>
        </x14:dataValidation>
        <x14:dataValidation type="list" errorStyle="information" operator="greaterThan" allowBlank="1" showInputMessage="1" prompt="Provide specific $ value if possible" xr:uid="{00000000-0002-0000-0600-000005000000}">
          <x14:formula1>
            <xm:f>'Summary and sign-off'!$A$38:$A$43</xm:f>
          </x14:formula1>
          <xm:sqref>E11:E26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222B8DFF6FAC43BD2D6B2BCD22F265" ma:contentTypeVersion="9" ma:contentTypeDescription="Create a new document." ma:contentTypeScope="" ma:versionID="af7c3e3f8bd6a60dcc1564b7ec201769">
  <xsd:schema xmlns:xsd="http://www.w3.org/2001/XMLSchema" xmlns:xs="http://www.w3.org/2001/XMLSchema" xmlns:p="http://schemas.microsoft.com/office/2006/metadata/properties" xmlns:ns3="6dd40e16-0b78-4915-8281-59a627a71b18" xmlns:ns4="e1ebbb71-dc1e-45af-8723-4168bf62fee8" targetNamespace="http://schemas.microsoft.com/office/2006/metadata/properties" ma:root="true" ma:fieldsID="bda908e0fc49139145a728c87668aa74" ns3:_="" ns4:_="">
    <xsd:import namespace="6dd40e16-0b78-4915-8281-59a627a71b18"/>
    <xsd:import namespace="e1ebbb71-dc1e-45af-8723-4168bf62fee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0e16-0b78-4915-8281-59a627a71b1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ebbb71-dc1e-45af-8723-4168bf62fee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A1E3F7-210F-4436-9053-02E7EE66D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40e16-0b78-4915-8281-59a627a71b18"/>
    <ds:schemaRef ds:uri="e1ebbb71-dc1e-45af-8723-4168bf62f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e1ebbb71-dc1e-45af-8723-4168bf62fee8"/>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6dd40e16-0b78-4915-8281-59a627a71b18"/>
    <ds:schemaRef ds:uri="http://purl.org/dc/term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CE Expense Disclosure Workbook and Guide</dc:title>
  <dc:creator>mortensenm</dc:creator>
  <dc:description>Version 7 - for review by SIT - ready 2/10/18</dc:description>
  <cp:lastModifiedBy>Kaitlynh</cp:lastModifiedBy>
  <cp:lastPrinted>2019-07-10T23:35:21Z</cp:lastPrinted>
  <dcterms:created xsi:type="dcterms:W3CDTF">2010-10-17T20:59:02Z</dcterms:created>
  <dcterms:modified xsi:type="dcterms:W3CDTF">2019-07-30T21:35:55Z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0x010100C5222B8DFF6FAC43BD2D6B2BCD22F265</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